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N:\FMS\CCH\CCH Data Input Workbook Templates\2024 Data Input Workbooks\2024 DIW Master Templates\Final\"/>
    </mc:Choice>
  </mc:AlternateContent>
  <xr:revisionPtr revIDLastSave="0" documentId="13_ncr:1_{56578B81-24CB-4B79-BB28-3054D55005BE}" xr6:coauthVersionLast="47" xr6:coauthVersionMax="47" xr10:uidLastSave="{00000000-0000-0000-0000-000000000000}"/>
  <bookViews>
    <workbookView xWindow="57480" yWindow="-8370" windowWidth="29040" windowHeight="15840" tabRatio="878" xr2:uid="{00000000-000D-0000-FFFF-FFFF00000000}"/>
  </bookViews>
  <sheets>
    <sheet name="Instructions" sheetId="81" r:id="rId1"/>
    <sheet name="Unit Data from Audit Worksheet" sheetId="1" r:id="rId2"/>
    <sheet name="TD Info Completed by Auditor" sheetId="91" r:id="rId3"/>
    <sheet name="Performance  Indicators Print" sheetId="88" r:id="rId4"/>
    <sheet name="Import" sheetId="28" state="hidden" r:id="rId5"/>
    <sheet name="Performance Indicator FBA%" sheetId="93" r:id="rId6"/>
    <sheet name="RSS" sheetId="99" r:id="rId7"/>
    <sheet name="Electric trans" sheetId="89" r:id="rId8"/>
    <sheet name="Electric Policy Info" sheetId="100" state="hidden" r:id="rId9"/>
    <sheet name="Tax Reval Rate" sheetId="72" state="hidden" r:id="rId10"/>
    <sheet name="PY1 Data(H)" sheetId="82" state="hidden" r:id="rId11"/>
    <sheet name="PY2 Data(H)" sheetId="84" state="hidden" r:id="rId12"/>
    <sheet name="Unit Names(H)" sheetId="29" state="hidden" r:id="rId13"/>
  </sheets>
  <externalReferences>
    <externalReference r:id="rId14"/>
  </externalReferences>
  <definedNames>
    <definedName name="_xlnm._FilterDatabase" localSheetId="9" hidden="1">'Tax Reval Rate'!$A$7:$E$107</definedName>
    <definedName name="Audit_Dtl">[1]Database!$AC$3:$AP$413</definedName>
    <definedName name="errorCount">#REF!</definedName>
    <definedName name="ppp">#REF!</definedName>
    <definedName name="_xlnm.Print_Area" localSheetId="0">Instructions!$B$1:$B$53</definedName>
    <definedName name="_xlnm.Print_Area" localSheetId="3">'Performance  Indicators Print'!$A$1:$H$46</definedName>
    <definedName name="_xlnm.Print_Area" localSheetId="2">'TD Info Completed by Auditor'!$A$1:$D$44</definedName>
    <definedName name="_xlnm.Print_Area" localSheetId="1">'Unit Data from Audit Worksheet'!$A$9:$F$267</definedName>
    <definedName name="Print_Selection_Auditor">#REF!</definedName>
    <definedName name="Print_Selection_Internal" localSheetId="7">#REF!</definedName>
    <definedName name="Print_Selection_Internal" localSheetId="3">#REF!</definedName>
    <definedName name="Print_Selection_Internal" localSheetId="5">#REF!</definedName>
    <definedName name="Print_Selection_Internal">#REF!</definedName>
    <definedName name="_xlnm.Print_Titles" localSheetId="3">'Performance  Indicators Print'!$3:$5</definedName>
    <definedName name="_xlnm.Print_Titles" localSheetId="1">'Unit Data from Audit Worksheet'!$5:$5</definedName>
    <definedName name="showError">#REF!</definedName>
    <definedName name="TD_IMPORT_RANGE" localSheetId="7">#REF!</definedName>
    <definedName name="TD_IMPORT_RANGE" localSheetId="0">#REF!</definedName>
    <definedName name="TD_IMPORT_RANGE" localSheetId="3">#REF!</definedName>
    <definedName name="TD_IMPORT_RANGE" localSheetId="5">#REF!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8" i="88" l="1"/>
  <c r="Q28" i="88"/>
  <c r="P19" i="88"/>
  <c r="Q19" i="88"/>
  <c r="BS276" i="84"/>
  <c r="BT276" i="84"/>
  <c r="BU276" i="84"/>
  <c r="BV276" i="84"/>
  <c r="BW276" i="84"/>
  <c r="BX276" i="84"/>
  <c r="BY276" i="84"/>
  <c r="BZ276" i="84"/>
  <c r="CA276" i="84"/>
  <c r="CB276" i="84"/>
  <c r="CC276" i="84"/>
  <c r="CD276" i="84"/>
  <c r="BS277" i="84"/>
  <c r="BT277" i="84"/>
  <c r="BU277" i="84"/>
  <c r="BV277" i="84"/>
  <c r="BW277" i="84"/>
  <c r="BX277" i="84"/>
  <c r="BY277" i="84"/>
  <c r="BZ277" i="84"/>
  <c r="CA277" i="84"/>
  <c r="CB277" i="84"/>
  <c r="CC277" i="84"/>
  <c r="CD277" i="84"/>
  <c r="AF340" i="82"/>
  <c r="M340" i="82"/>
  <c r="BT340" i="82"/>
  <c r="Q340" i="82"/>
  <c r="M259" i="82"/>
  <c r="M449" i="82"/>
  <c r="M456" i="82" s="1"/>
  <c r="N449" i="82" l="1"/>
  <c r="BJ347" i="82"/>
  <c r="BS347" i="82"/>
  <c r="BT347" i="82"/>
  <c r="BU347" i="82"/>
  <c r="BV347" i="82"/>
  <c r="BW347" i="82"/>
  <c r="BX347" i="82"/>
  <c r="BY347" i="82"/>
  <c r="BZ347" i="82"/>
  <c r="CA347" i="82"/>
  <c r="CB347" i="82"/>
  <c r="CC347" i="82"/>
  <c r="CD347" i="82"/>
  <c r="D347" i="82"/>
  <c r="BS332" i="82"/>
  <c r="BT332" i="82"/>
  <c r="BU332" i="82"/>
  <c r="BV332" i="82"/>
  <c r="BW332" i="82"/>
  <c r="BX332" i="82"/>
  <c r="BY332" i="82"/>
  <c r="BZ332" i="82"/>
  <c r="CA332" i="82"/>
  <c r="CB332" i="82"/>
  <c r="CC332" i="82"/>
  <c r="CD332" i="82"/>
  <c r="BS333" i="82"/>
  <c r="BT333" i="82"/>
  <c r="BU333" i="82"/>
  <c r="BV333" i="82"/>
  <c r="BW333" i="82"/>
  <c r="BX333" i="82"/>
  <c r="BY333" i="82"/>
  <c r="BZ333" i="82"/>
  <c r="CA333" i="82"/>
  <c r="CB333" i="82"/>
  <c r="CC333" i="82"/>
  <c r="CD333" i="82"/>
  <c r="BS334" i="82"/>
  <c r="BT334" i="82"/>
  <c r="BU334" i="82"/>
  <c r="BV334" i="82"/>
  <c r="BW334" i="82"/>
  <c r="BX334" i="82"/>
  <c r="BY334" i="82"/>
  <c r="BZ334" i="82"/>
  <c r="CA334" i="82"/>
  <c r="CB334" i="82"/>
  <c r="CC334" i="82"/>
  <c r="CD334" i="82"/>
  <c r="BS336" i="82"/>
  <c r="BT336" i="82"/>
  <c r="BU336" i="82"/>
  <c r="BV336" i="82"/>
  <c r="BW336" i="82"/>
  <c r="BX336" i="82"/>
  <c r="BY336" i="82"/>
  <c r="BZ336" i="82"/>
  <c r="CA336" i="82"/>
  <c r="CB336" i="82"/>
  <c r="CC336" i="82"/>
  <c r="CD336" i="82"/>
  <c r="BS285" i="82"/>
  <c r="BT285" i="82"/>
  <c r="BU285" i="82"/>
  <c r="BV285" i="82"/>
  <c r="BW285" i="82"/>
  <c r="BX285" i="82"/>
  <c r="BY285" i="82"/>
  <c r="BY328" i="82" s="1"/>
  <c r="BY329" i="82" s="1"/>
  <c r="BZ285" i="82"/>
  <c r="CA285" i="82"/>
  <c r="CB285" i="82"/>
  <c r="CC285" i="82"/>
  <c r="CD285" i="82"/>
  <c r="BS286" i="82"/>
  <c r="BT286" i="82"/>
  <c r="BU286" i="82"/>
  <c r="BV286" i="82"/>
  <c r="BW286" i="82"/>
  <c r="BX286" i="82"/>
  <c r="BY286" i="82"/>
  <c r="BZ286" i="82"/>
  <c r="CA286" i="82"/>
  <c r="CB286" i="82"/>
  <c r="CC286" i="82"/>
  <c r="CD286" i="82"/>
  <c r="BS287" i="82"/>
  <c r="BT287" i="82"/>
  <c r="BU287" i="82"/>
  <c r="BV287" i="82"/>
  <c r="BW287" i="82"/>
  <c r="BX287" i="82"/>
  <c r="BY287" i="82"/>
  <c r="BZ287" i="82"/>
  <c r="CA287" i="82"/>
  <c r="CB287" i="82"/>
  <c r="CC287" i="82"/>
  <c r="CD287" i="82"/>
  <c r="BS288" i="82"/>
  <c r="BT288" i="82"/>
  <c r="BU288" i="82"/>
  <c r="BV288" i="82"/>
  <c r="BW288" i="82"/>
  <c r="BW328" i="82" s="1"/>
  <c r="BW329" i="82" s="1"/>
  <c r="BX288" i="82"/>
  <c r="BY288" i="82"/>
  <c r="BZ288" i="82"/>
  <c r="CA288" i="82"/>
  <c r="CB288" i="82"/>
  <c r="CC288" i="82"/>
  <c r="CD288" i="82"/>
  <c r="BS289" i="82"/>
  <c r="BT289" i="82"/>
  <c r="BU289" i="82"/>
  <c r="BV289" i="82"/>
  <c r="BW289" i="82"/>
  <c r="BX289" i="82"/>
  <c r="BY289" i="82"/>
  <c r="BZ289" i="82"/>
  <c r="CA289" i="82"/>
  <c r="CB289" i="82"/>
  <c r="CC289" i="82"/>
  <c r="CD289" i="82"/>
  <c r="BS290" i="82"/>
  <c r="BT290" i="82"/>
  <c r="BU290" i="82"/>
  <c r="BV290" i="82"/>
  <c r="BW290" i="82"/>
  <c r="BX290" i="82"/>
  <c r="BY290" i="82"/>
  <c r="BZ290" i="82"/>
  <c r="CA290" i="82"/>
  <c r="CB290" i="82"/>
  <c r="CC290" i="82"/>
  <c r="CD290" i="82"/>
  <c r="BS291" i="82"/>
  <c r="BT291" i="82"/>
  <c r="BU291" i="82"/>
  <c r="BV291" i="82"/>
  <c r="BW291" i="82"/>
  <c r="BX291" i="82"/>
  <c r="BY291" i="82"/>
  <c r="BZ291" i="82"/>
  <c r="CA291" i="82"/>
  <c r="CB291" i="82"/>
  <c r="CC291" i="82"/>
  <c r="CD291" i="82"/>
  <c r="BS292" i="82"/>
  <c r="BT292" i="82"/>
  <c r="BU292" i="82"/>
  <c r="BV292" i="82"/>
  <c r="BW292" i="82"/>
  <c r="BX292" i="82"/>
  <c r="BY292" i="82"/>
  <c r="BZ292" i="82"/>
  <c r="CA292" i="82"/>
  <c r="CB292" i="82"/>
  <c r="CC292" i="82"/>
  <c r="CD292" i="82"/>
  <c r="BS293" i="82"/>
  <c r="BT293" i="82"/>
  <c r="BU293" i="82"/>
  <c r="BV293" i="82"/>
  <c r="BW293" i="82"/>
  <c r="BX293" i="82"/>
  <c r="BY293" i="82"/>
  <c r="BZ293" i="82"/>
  <c r="CA293" i="82"/>
  <c r="CB293" i="82"/>
  <c r="CC293" i="82"/>
  <c r="CD293" i="82"/>
  <c r="BS294" i="82"/>
  <c r="BT294" i="82"/>
  <c r="BU294" i="82"/>
  <c r="BV294" i="82"/>
  <c r="BW294" i="82"/>
  <c r="BX294" i="82"/>
  <c r="BY294" i="82"/>
  <c r="BZ294" i="82"/>
  <c r="CA294" i="82"/>
  <c r="CB294" i="82"/>
  <c r="CC294" i="82"/>
  <c r="CD294" i="82"/>
  <c r="BS295" i="82"/>
  <c r="BT295" i="82"/>
  <c r="BU295" i="82"/>
  <c r="BV295" i="82"/>
  <c r="BW295" i="82"/>
  <c r="BX295" i="82"/>
  <c r="BY295" i="82"/>
  <c r="BZ295" i="82"/>
  <c r="CA295" i="82"/>
  <c r="CB295" i="82"/>
  <c r="CC295" i="82"/>
  <c r="CD295" i="82"/>
  <c r="BS296" i="82"/>
  <c r="BT296" i="82"/>
  <c r="BU296" i="82"/>
  <c r="BV296" i="82"/>
  <c r="BW296" i="82"/>
  <c r="BX296" i="82"/>
  <c r="BY296" i="82"/>
  <c r="BZ296" i="82"/>
  <c r="CA296" i="82"/>
  <c r="CB296" i="82"/>
  <c r="CC296" i="82"/>
  <c r="CD296" i="82"/>
  <c r="BS297" i="82"/>
  <c r="BT297" i="82"/>
  <c r="BU297" i="82"/>
  <c r="BV297" i="82"/>
  <c r="BW297" i="82"/>
  <c r="BX297" i="82"/>
  <c r="BY297" i="82"/>
  <c r="BZ297" i="82"/>
  <c r="CA297" i="82"/>
  <c r="CB297" i="82"/>
  <c r="CC297" i="82"/>
  <c r="CD297" i="82"/>
  <c r="BS298" i="82"/>
  <c r="BT298" i="82"/>
  <c r="BU298" i="82"/>
  <c r="BV298" i="82"/>
  <c r="BW298" i="82"/>
  <c r="BX298" i="82"/>
  <c r="BY298" i="82"/>
  <c r="BZ298" i="82"/>
  <c r="CA298" i="82"/>
  <c r="CB298" i="82"/>
  <c r="CC298" i="82"/>
  <c r="CD298" i="82"/>
  <c r="BS299" i="82"/>
  <c r="BT299" i="82"/>
  <c r="BU299" i="82"/>
  <c r="BV299" i="82"/>
  <c r="BW299" i="82"/>
  <c r="BX299" i="82"/>
  <c r="BX328" i="82" s="1"/>
  <c r="BX329" i="82" s="1"/>
  <c r="BY299" i="82"/>
  <c r="BZ299" i="82"/>
  <c r="CA299" i="82"/>
  <c r="CB299" i="82"/>
  <c r="CC299" i="82"/>
  <c r="CD299" i="82"/>
  <c r="BS300" i="82"/>
  <c r="BT300" i="82"/>
  <c r="BU300" i="82"/>
  <c r="BV300" i="82"/>
  <c r="BW300" i="82"/>
  <c r="BX300" i="82"/>
  <c r="BY300" i="82"/>
  <c r="BZ300" i="82"/>
  <c r="CA300" i="82"/>
  <c r="CB300" i="82"/>
  <c r="CC300" i="82"/>
  <c r="CD300" i="82"/>
  <c r="BS301" i="82"/>
  <c r="BT301" i="82"/>
  <c r="BU301" i="82"/>
  <c r="BV301" i="82"/>
  <c r="BW301" i="82"/>
  <c r="BX301" i="82"/>
  <c r="BY301" i="82"/>
  <c r="BZ301" i="82"/>
  <c r="CA301" i="82"/>
  <c r="CB301" i="82"/>
  <c r="CC301" i="82"/>
  <c r="CD301" i="82"/>
  <c r="BS302" i="82"/>
  <c r="BT302" i="82"/>
  <c r="BU302" i="82"/>
  <c r="BV302" i="82"/>
  <c r="BW302" i="82"/>
  <c r="BX302" i="82"/>
  <c r="BY302" i="82"/>
  <c r="BZ302" i="82"/>
  <c r="CA302" i="82"/>
  <c r="CB302" i="82"/>
  <c r="CC302" i="82"/>
  <c r="CD302" i="82"/>
  <c r="BS303" i="82"/>
  <c r="BT303" i="82"/>
  <c r="BU303" i="82"/>
  <c r="BV303" i="82"/>
  <c r="BW303" i="82"/>
  <c r="BX303" i="82"/>
  <c r="BY303" i="82"/>
  <c r="BZ303" i="82"/>
  <c r="CA303" i="82"/>
  <c r="CB303" i="82"/>
  <c r="CC303" i="82"/>
  <c r="CD303" i="82"/>
  <c r="BS304" i="82"/>
  <c r="BT304" i="82"/>
  <c r="BU304" i="82"/>
  <c r="BV304" i="82"/>
  <c r="BW304" i="82"/>
  <c r="BX304" i="82"/>
  <c r="BY304" i="82"/>
  <c r="BZ304" i="82"/>
  <c r="CA304" i="82"/>
  <c r="CB304" i="82"/>
  <c r="CC304" i="82"/>
  <c r="CD304" i="82"/>
  <c r="BS305" i="82"/>
  <c r="BT305" i="82"/>
  <c r="BU305" i="82"/>
  <c r="BV305" i="82"/>
  <c r="BW305" i="82"/>
  <c r="BX305" i="82"/>
  <c r="BY305" i="82"/>
  <c r="BZ305" i="82"/>
  <c r="CA305" i="82"/>
  <c r="CB305" i="82"/>
  <c r="CC305" i="82"/>
  <c r="CD305" i="82"/>
  <c r="BS306" i="82"/>
  <c r="BT306" i="82"/>
  <c r="BU306" i="82"/>
  <c r="BV306" i="82"/>
  <c r="BW306" i="82"/>
  <c r="BX306" i="82"/>
  <c r="BY306" i="82"/>
  <c r="BZ306" i="82"/>
  <c r="CA306" i="82"/>
  <c r="CB306" i="82"/>
  <c r="CC306" i="82"/>
  <c r="CD306" i="82"/>
  <c r="BS307" i="82"/>
  <c r="BT307" i="82"/>
  <c r="BU307" i="82"/>
  <c r="BV307" i="82"/>
  <c r="BW307" i="82"/>
  <c r="BX307" i="82"/>
  <c r="BY307" i="82"/>
  <c r="BZ307" i="82"/>
  <c r="CA307" i="82"/>
  <c r="CB307" i="82"/>
  <c r="CC307" i="82"/>
  <c r="CD307" i="82"/>
  <c r="BS308" i="82"/>
  <c r="BT308" i="82"/>
  <c r="BU308" i="82"/>
  <c r="BV308" i="82"/>
  <c r="BW308" i="82"/>
  <c r="BX308" i="82"/>
  <c r="BY308" i="82"/>
  <c r="BZ308" i="82"/>
  <c r="CA308" i="82"/>
  <c r="CB308" i="82"/>
  <c r="CC308" i="82"/>
  <c r="CD308" i="82"/>
  <c r="BS309" i="82"/>
  <c r="BT309" i="82"/>
  <c r="BU309" i="82"/>
  <c r="BV309" i="82"/>
  <c r="BW309" i="82"/>
  <c r="BX309" i="82"/>
  <c r="BY309" i="82"/>
  <c r="BZ309" i="82"/>
  <c r="CA309" i="82"/>
  <c r="CB309" i="82"/>
  <c r="CC309" i="82"/>
  <c r="CD309" i="82"/>
  <c r="BS310" i="82"/>
  <c r="BT310" i="82"/>
  <c r="BU310" i="82"/>
  <c r="BV310" i="82"/>
  <c r="BW310" i="82"/>
  <c r="BX310" i="82"/>
  <c r="BY310" i="82"/>
  <c r="BZ310" i="82"/>
  <c r="CA310" i="82"/>
  <c r="CB310" i="82"/>
  <c r="CC310" i="82"/>
  <c r="CD310" i="82"/>
  <c r="BS311" i="82"/>
  <c r="BT311" i="82"/>
  <c r="BU311" i="82"/>
  <c r="BV311" i="82"/>
  <c r="BW311" i="82"/>
  <c r="BX311" i="82"/>
  <c r="BY311" i="82"/>
  <c r="BZ311" i="82"/>
  <c r="CA311" i="82"/>
  <c r="CB311" i="82"/>
  <c r="CC311" i="82"/>
  <c r="CD311" i="82"/>
  <c r="BS312" i="82"/>
  <c r="BT312" i="82"/>
  <c r="BU312" i="82"/>
  <c r="BV312" i="82"/>
  <c r="BW312" i="82"/>
  <c r="BX312" i="82"/>
  <c r="BY312" i="82"/>
  <c r="BZ312" i="82"/>
  <c r="CA312" i="82"/>
  <c r="CB312" i="82"/>
  <c r="CC312" i="82"/>
  <c r="CD312" i="82"/>
  <c r="BS313" i="82"/>
  <c r="BT313" i="82"/>
  <c r="BU313" i="82"/>
  <c r="BV313" i="82"/>
  <c r="BW313" i="82"/>
  <c r="BX313" i="82"/>
  <c r="BY313" i="82"/>
  <c r="BZ313" i="82"/>
  <c r="CA313" i="82"/>
  <c r="CB313" i="82"/>
  <c r="CC313" i="82"/>
  <c r="CD313" i="82"/>
  <c r="BS314" i="82"/>
  <c r="BT314" i="82"/>
  <c r="BU314" i="82"/>
  <c r="BV314" i="82"/>
  <c r="BW314" i="82"/>
  <c r="BX314" i="82"/>
  <c r="BY314" i="82"/>
  <c r="BZ314" i="82"/>
  <c r="CA314" i="82"/>
  <c r="CB314" i="82"/>
  <c r="CC314" i="82"/>
  <c r="CD314" i="82"/>
  <c r="BS315" i="82"/>
  <c r="BT315" i="82"/>
  <c r="BU315" i="82"/>
  <c r="BV315" i="82"/>
  <c r="BW315" i="82"/>
  <c r="BX315" i="82"/>
  <c r="BY315" i="82"/>
  <c r="BZ315" i="82"/>
  <c r="CA315" i="82"/>
  <c r="CB315" i="82"/>
  <c r="CC315" i="82"/>
  <c r="CD315" i="82"/>
  <c r="BS316" i="82"/>
  <c r="BT316" i="82"/>
  <c r="BU316" i="82"/>
  <c r="BV316" i="82"/>
  <c r="BW316" i="82"/>
  <c r="BX316" i="82"/>
  <c r="BY316" i="82"/>
  <c r="BZ316" i="82"/>
  <c r="CA316" i="82"/>
  <c r="CB316" i="82"/>
  <c r="CC316" i="82"/>
  <c r="CD316" i="82"/>
  <c r="BS317" i="82"/>
  <c r="BT317" i="82"/>
  <c r="BU317" i="82"/>
  <c r="BV317" i="82"/>
  <c r="BW317" i="82"/>
  <c r="BX317" i="82"/>
  <c r="BY317" i="82"/>
  <c r="BZ317" i="82"/>
  <c r="CA317" i="82"/>
  <c r="CB317" i="82"/>
  <c r="CC317" i="82"/>
  <c r="CD317" i="82"/>
  <c r="BS318" i="82"/>
  <c r="BT318" i="82"/>
  <c r="BU318" i="82"/>
  <c r="BV318" i="82"/>
  <c r="BW318" i="82"/>
  <c r="BX318" i="82"/>
  <c r="BY318" i="82"/>
  <c r="BZ318" i="82"/>
  <c r="CA318" i="82"/>
  <c r="CB318" i="82"/>
  <c r="CC318" i="82"/>
  <c r="CD318" i="82"/>
  <c r="BS319" i="82"/>
  <c r="BT319" i="82"/>
  <c r="BU319" i="82"/>
  <c r="BV319" i="82"/>
  <c r="BW319" i="82"/>
  <c r="BX319" i="82"/>
  <c r="BY319" i="82"/>
  <c r="BZ319" i="82"/>
  <c r="CA319" i="82"/>
  <c r="CB319" i="82"/>
  <c r="CC319" i="82"/>
  <c r="CD319" i="82"/>
  <c r="BS320" i="82"/>
  <c r="BT320" i="82"/>
  <c r="BU320" i="82"/>
  <c r="BV320" i="82"/>
  <c r="BW320" i="82"/>
  <c r="BX320" i="82"/>
  <c r="BY320" i="82"/>
  <c r="BZ320" i="82"/>
  <c r="CA320" i="82"/>
  <c r="CB320" i="82"/>
  <c r="CC320" i="82"/>
  <c r="CD320" i="82"/>
  <c r="BS321" i="82"/>
  <c r="BT321" i="82"/>
  <c r="BU321" i="82"/>
  <c r="BV321" i="82"/>
  <c r="BW321" i="82"/>
  <c r="BX321" i="82"/>
  <c r="BY321" i="82"/>
  <c r="BZ321" i="82"/>
  <c r="CA321" i="82"/>
  <c r="CB321" i="82"/>
  <c r="CC321" i="82"/>
  <c r="CD321" i="82"/>
  <c r="BS322" i="82"/>
  <c r="BT322" i="82"/>
  <c r="BU322" i="82"/>
  <c r="BV322" i="82"/>
  <c r="BW322" i="82"/>
  <c r="BX322" i="82"/>
  <c r="BY322" i="82"/>
  <c r="BZ322" i="82"/>
  <c r="CA322" i="82"/>
  <c r="CB322" i="82"/>
  <c r="CC322" i="82"/>
  <c r="CD322" i="82"/>
  <c r="BS323" i="82"/>
  <c r="BT323" i="82"/>
  <c r="BU323" i="82"/>
  <c r="BV323" i="82"/>
  <c r="BW323" i="82"/>
  <c r="BX323" i="82"/>
  <c r="BY323" i="82"/>
  <c r="BZ323" i="82"/>
  <c r="CA323" i="82"/>
  <c r="CB323" i="82"/>
  <c r="CC323" i="82"/>
  <c r="CD323" i="82"/>
  <c r="BS324" i="82"/>
  <c r="BT324" i="82"/>
  <c r="BU324" i="82"/>
  <c r="BV324" i="82"/>
  <c r="BW324" i="82"/>
  <c r="BX324" i="82"/>
  <c r="BY324" i="82"/>
  <c r="BZ324" i="82"/>
  <c r="CA324" i="82"/>
  <c r="CB324" i="82"/>
  <c r="CC324" i="82"/>
  <c r="CD324" i="82"/>
  <c r="BS325" i="82"/>
  <c r="BT325" i="82"/>
  <c r="BU325" i="82"/>
  <c r="BV325" i="82"/>
  <c r="BW325" i="82"/>
  <c r="BX325" i="82"/>
  <c r="BY325" i="82"/>
  <c r="BZ325" i="82"/>
  <c r="CA325" i="82"/>
  <c r="CB325" i="82"/>
  <c r="CC325" i="82"/>
  <c r="CD325" i="82"/>
  <c r="BS326" i="82"/>
  <c r="BT326" i="82"/>
  <c r="BU326" i="82"/>
  <c r="BV326" i="82"/>
  <c r="BW326" i="82"/>
  <c r="BX326" i="82"/>
  <c r="BY326" i="82"/>
  <c r="BZ326" i="82"/>
  <c r="CA326" i="82"/>
  <c r="CB326" i="82"/>
  <c r="CC326" i="82"/>
  <c r="CD326" i="82"/>
  <c r="BS327" i="82"/>
  <c r="BT327" i="82"/>
  <c r="BU327" i="82"/>
  <c r="BV327" i="82"/>
  <c r="BW327" i="82"/>
  <c r="BX327" i="82"/>
  <c r="BY327" i="82"/>
  <c r="BZ327" i="82"/>
  <c r="CA327" i="82"/>
  <c r="CB327" i="82"/>
  <c r="CC327" i="82"/>
  <c r="CD327" i="82"/>
  <c r="BS328" i="82"/>
  <c r="BS329" i="82" s="1"/>
  <c r="BT328" i="82"/>
  <c r="BT329" i="82" s="1"/>
  <c r="BU328" i="82"/>
  <c r="BU329" i="82" s="1"/>
  <c r="BV328" i="82"/>
  <c r="BZ328" i="82"/>
  <c r="BZ329" i="82" s="1"/>
  <c r="CA328" i="82"/>
  <c r="CB328" i="82"/>
  <c r="CC328" i="82"/>
  <c r="CD328" i="82"/>
  <c r="CD329" i="82" s="1"/>
  <c r="BV329" i="82"/>
  <c r="CA329" i="82"/>
  <c r="CB329" i="82"/>
  <c r="CC329" i="82"/>
  <c r="BS278" i="82"/>
  <c r="BT278" i="82"/>
  <c r="BU278" i="82"/>
  <c r="BV278" i="82"/>
  <c r="BW278" i="82"/>
  <c r="BX278" i="82"/>
  <c r="BY278" i="82"/>
  <c r="BZ278" i="82"/>
  <c r="CA278" i="82"/>
  <c r="CB278" i="82"/>
  <c r="CC278" i="82"/>
  <c r="CD278" i="82"/>
  <c r="BS279" i="82"/>
  <c r="BT279" i="82"/>
  <c r="BU279" i="82"/>
  <c r="BV279" i="82"/>
  <c r="BW279" i="82"/>
  <c r="BX279" i="82"/>
  <c r="BY279" i="82"/>
  <c r="BZ279" i="82"/>
  <c r="CA279" i="82"/>
  <c r="CB279" i="82"/>
  <c r="CC279" i="82"/>
  <c r="CD279" i="82"/>
  <c r="BS282" i="84"/>
  <c r="BT282" i="84"/>
  <c r="BU282" i="84"/>
  <c r="BV282" i="84"/>
  <c r="BW282" i="84"/>
  <c r="BX282" i="84"/>
  <c r="BY282" i="84"/>
  <c r="BZ282" i="84"/>
  <c r="CA282" i="84"/>
  <c r="CB282" i="84"/>
  <c r="CC282" i="84"/>
  <c r="CD282" i="84"/>
  <c r="L239" i="28"/>
  <c r="L240" i="28"/>
  <c r="G86" i="1"/>
  <c r="E278" i="82"/>
  <c r="F278" i="82"/>
  <c r="G278" i="82"/>
  <c r="H278" i="82"/>
  <c r="I278" i="82"/>
  <c r="J278" i="82"/>
  <c r="K278" i="82"/>
  <c r="L278" i="82"/>
  <c r="M278" i="82"/>
  <c r="N278" i="82"/>
  <c r="O278" i="82"/>
  <c r="P278" i="82"/>
  <c r="Q278" i="82"/>
  <c r="R278" i="82"/>
  <c r="S278" i="82"/>
  <c r="T278" i="82"/>
  <c r="U278" i="82"/>
  <c r="V278" i="82"/>
  <c r="W278" i="82"/>
  <c r="X278" i="82"/>
  <c r="Y278" i="82"/>
  <c r="Z278" i="82"/>
  <c r="AA278" i="82"/>
  <c r="AB278" i="82"/>
  <c r="AC278" i="82"/>
  <c r="AD278" i="82"/>
  <c r="AE278" i="82"/>
  <c r="AF278" i="82"/>
  <c r="AG278" i="82"/>
  <c r="AH278" i="82"/>
  <c r="AI278" i="82"/>
  <c r="AJ278" i="82"/>
  <c r="AK278" i="82"/>
  <c r="AL278" i="82"/>
  <c r="AM278" i="82"/>
  <c r="AN278" i="82"/>
  <c r="AO278" i="82"/>
  <c r="AP278" i="82"/>
  <c r="AQ278" i="82"/>
  <c r="AR278" i="82"/>
  <c r="AS278" i="82"/>
  <c r="AT278" i="82"/>
  <c r="AU278" i="82"/>
  <c r="AV278" i="82"/>
  <c r="AW278" i="82"/>
  <c r="AX278" i="82"/>
  <c r="AY278" i="82"/>
  <c r="AZ278" i="82"/>
  <c r="BA278" i="82"/>
  <c r="BB278" i="82"/>
  <c r="BC278" i="82"/>
  <c r="BD278" i="82"/>
  <c r="BE278" i="82"/>
  <c r="BF278" i="82"/>
  <c r="BG278" i="82"/>
  <c r="BH278" i="82"/>
  <c r="BI278" i="82"/>
  <c r="BJ278" i="82"/>
  <c r="BK278" i="82"/>
  <c r="BL278" i="82"/>
  <c r="BM278" i="82"/>
  <c r="BN278" i="82"/>
  <c r="BO278" i="82"/>
  <c r="BP278" i="82"/>
  <c r="BQ278" i="82"/>
  <c r="BR278" i="82"/>
  <c r="D278" i="82"/>
  <c r="N30" i="88"/>
  <c r="E332" i="82"/>
  <c r="F332" i="82"/>
  <c r="G332" i="82"/>
  <c r="H332" i="82"/>
  <c r="I332" i="82"/>
  <c r="J332" i="82"/>
  <c r="K332" i="82"/>
  <c r="L332" i="82"/>
  <c r="M332" i="82"/>
  <c r="N332" i="82"/>
  <c r="O332" i="82"/>
  <c r="P332" i="82"/>
  <c r="Q332" i="82"/>
  <c r="R332" i="82"/>
  <c r="S332" i="82"/>
  <c r="T332" i="82"/>
  <c r="U332" i="82"/>
  <c r="V332" i="82"/>
  <c r="W332" i="82"/>
  <c r="X332" i="82"/>
  <c r="Y332" i="82"/>
  <c r="Z332" i="82"/>
  <c r="AA332" i="82"/>
  <c r="AB332" i="82"/>
  <c r="AC332" i="82"/>
  <c r="AD332" i="82"/>
  <c r="AE332" i="82"/>
  <c r="AF332" i="82"/>
  <c r="AG332" i="82"/>
  <c r="AH332" i="82"/>
  <c r="AI332" i="82"/>
  <c r="AJ332" i="82"/>
  <c r="AK332" i="82"/>
  <c r="AL332" i="82"/>
  <c r="AM332" i="82"/>
  <c r="AN332" i="82"/>
  <c r="AO332" i="82"/>
  <c r="AP332" i="82"/>
  <c r="AQ332" i="82"/>
  <c r="AR332" i="82"/>
  <c r="AS332" i="82"/>
  <c r="AT332" i="82"/>
  <c r="AU332" i="82"/>
  <c r="AV332" i="82"/>
  <c r="AW332" i="82"/>
  <c r="AX332" i="82"/>
  <c r="AY332" i="82"/>
  <c r="AZ332" i="82"/>
  <c r="BA332" i="82"/>
  <c r="BB332" i="82"/>
  <c r="BC332" i="82"/>
  <c r="BD332" i="82"/>
  <c r="BE332" i="82"/>
  <c r="BF332" i="82"/>
  <c r="BG332" i="82"/>
  <c r="BH332" i="82"/>
  <c r="BI332" i="82"/>
  <c r="BJ332" i="82"/>
  <c r="BK332" i="82"/>
  <c r="BL332" i="82"/>
  <c r="BM332" i="82"/>
  <c r="BN332" i="82"/>
  <c r="BO332" i="82"/>
  <c r="BP332" i="82"/>
  <c r="BQ332" i="82"/>
  <c r="BR332" i="82"/>
  <c r="E333" i="82"/>
  <c r="F333" i="82"/>
  <c r="G333" i="82"/>
  <c r="H333" i="82"/>
  <c r="I333" i="82"/>
  <c r="J333" i="82"/>
  <c r="K333" i="82"/>
  <c r="L333" i="82"/>
  <c r="M333" i="82"/>
  <c r="N333" i="82"/>
  <c r="O333" i="82"/>
  <c r="P333" i="82"/>
  <c r="Q333" i="82"/>
  <c r="R333" i="82"/>
  <c r="S333" i="82"/>
  <c r="T333" i="82"/>
  <c r="U333" i="82"/>
  <c r="V333" i="82"/>
  <c r="W333" i="82"/>
  <c r="X333" i="82"/>
  <c r="Y333" i="82"/>
  <c r="Z333" i="82"/>
  <c r="AA333" i="82"/>
  <c r="AB333" i="82"/>
  <c r="AC333" i="82"/>
  <c r="AD333" i="82"/>
  <c r="AE333" i="82"/>
  <c r="AF333" i="82"/>
  <c r="AG333" i="82"/>
  <c r="AH333" i="82"/>
  <c r="AI333" i="82"/>
  <c r="AJ333" i="82"/>
  <c r="AK333" i="82"/>
  <c r="AL333" i="82"/>
  <c r="AM333" i="82"/>
  <c r="AN333" i="82"/>
  <c r="AO333" i="82"/>
  <c r="AP333" i="82"/>
  <c r="AQ333" i="82"/>
  <c r="AR333" i="82"/>
  <c r="AS333" i="82"/>
  <c r="AT333" i="82"/>
  <c r="AU333" i="82"/>
  <c r="AV333" i="82"/>
  <c r="AW333" i="82"/>
  <c r="AX333" i="82"/>
  <c r="AY333" i="82"/>
  <c r="AZ333" i="82"/>
  <c r="BA333" i="82"/>
  <c r="BB333" i="82"/>
  <c r="BC333" i="82"/>
  <c r="BD333" i="82"/>
  <c r="BE333" i="82"/>
  <c r="BF333" i="82"/>
  <c r="BG333" i="82"/>
  <c r="BH333" i="82"/>
  <c r="BI333" i="82"/>
  <c r="BJ333" i="82"/>
  <c r="BK333" i="82"/>
  <c r="BL333" i="82"/>
  <c r="BM333" i="82"/>
  <c r="BN333" i="82"/>
  <c r="BO333" i="82"/>
  <c r="BP333" i="82"/>
  <c r="BQ333" i="82"/>
  <c r="BR333" i="82"/>
  <c r="E334" i="82"/>
  <c r="F334" i="82"/>
  <c r="G334" i="82"/>
  <c r="H334" i="82"/>
  <c r="I334" i="82"/>
  <c r="J334" i="82"/>
  <c r="K334" i="82"/>
  <c r="L334" i="82"/>
  <c r="M334" i="82"/>
  <c r="N334" i="82"/>
  <c r="O334" i="82"/>
  <c r="P334" i="82"/>
  <c r="Q334" i="82"/>
  <c r="R334" i="82"/>
  <c r="S334" i="82"/>
  <c r="T334" i="82"/>
  <c r="U334" i="82"/>
  <c r="V334" i="82"/>
  <c r="W334" i="82"/>
  <c r="X334" i="82"/>
  <c r="Y334" i="82"/>
  <c r="Z334" i="82"/>
  <c r="AA334" i="82"/>
  <c r="AB334" i="82"/>
  <c r="AC334" i="82"/>
  <c r="AD334" i="82"/>
  <c r="AE334" i="82"/>
  <c r="AF334" i="82"/>
  <c r="AG334" i="82"/>
  <c r="AH334" i="82"/>
  <c r="AI334" i="82"/>
  <c r="AJ334" i="82"/>
  <c r="AK334" i="82"/>
  <c r="AL334" i="82"/>
  <c r="AM334" i="82"/>
  <c r="AN334" i="82"/>
  <c r="AO334" i="82"/>
  <c r="AP334" i="82"/>
  <c r="AQ334" i="82"/>
  <c r="AR334" i="82"/>
  <c r="AS334" i="82"/>
  <c r="AT334" i="82"/>
  <c r="AU334" i="82"/>
  <c r="AV334" i="82"/>
  <c r="AW334" i="82"/>
  <c r="AX334" i="82"/>
  <c r="AY334" i="82"/>
  <c r="AZ334" i="82"/>
  <c r="BA334" i="82"/>
  <c r="BB334" i="82"/>
  <c r="BC334" i="82"/>
  <c r="BD334" i="82"/>
  <c r="BE334" i="82"/>
  <c r="BF334" i="82"/>
  <c r="BG334" i="82"/>
  <c r="BH334" i="82"/>
  <c r="BI334" i="82"/>
  <c r="BJ334" i="82"/>
  <c r="BK334" i="82"/>
  <c r="BL334" i="82"/>
  <c r="BM334" i="82"/>
  <c r="BN334" i="82"/>
  <c r="BO334" i="82"/>
  <c r="BP334" i="82"/>
  <c r="BQ334" i="82"/>
  <c r="BR334" i="82"/>
  <c r="D333" i="82"/>
  <c r="D334" i="82"/>
  <c r="D332" i="82"/>
  <c r="B324" i="82"/>
  <c r="C324" i="82"/>
  <c r="D324" i="82"/>
  <c r="E324" i="82"/>
  <c r="F324" i="82"/>
  <c r="G324" i="82"/>
  <c r="H324" i="82"/>
  <c r="I324" i="82"/>
  <c r="J324" i="82"/>
  <c r="K324" i="82"/>
  <c r="L324" i="82"/>
  <c r="M324" i="82"/>
  <c r="N324" i="82"/>
  <c r="O324" i="82"/>
  <c r="P324" i="82"/>
  <c r="Q324" i="82"/>
  <c r="R324" i="82"/>
  <c r="S324" i="82"/>
  <c r="T324" i="82"/>
  <c r="U324" i="82"/>
  <c r="V324" i="82"/>
  <c r="W324" i="82"/>
  <c r="X324" i="82"/>
  <c r="Y324" i="82"/>
  <c r="Z324" i="82"/>
  <c r="AA324" i="82"/>
  <c r="AB324" i="82"/>
  <c r="AC324" i="82"/>
  <c r="AD324" i="82"/>
  <c r="AE324" i="82"/>
  <c r="AF324" i="82"/>
  <c r="AG324" i="82"/>
  <c r="AH324" i="82"/>
  <c r="AI324" i="82"/>
  <c r="AJ324" i="82"/>
  <c r="AK324" i="82"/>
  <c r="AL324" i="82"/>
  <c r="AM324" i="82"/>
  <c r="AN324" i="82"/>
  <c r="AO324" i="82"/>
  <c r="AP324" i="82"/>
  <c r="AQ324" i="82"/>
  <c r="AR324" i="82"/>
  <c r="AS324" i="82"/>
  <c r="AT324" i="82"/>
  <c r="AU324" i="82"/>
  <c r="AV324" i="82"/>
  <c r="AW324" i="82"/>
  <c r="AX324" i="82"/>
  <c r="AY324" i="82"/>
  <c r="AZ324" i="82"/>
  <c r="BA324" i="82"/>
  <c r="BB324" i="82"/>
  <c r="BC324" i="82"/>
  <c r="BD324" i="82"/>
  <c r="BE324" i="82"/>
  <c r="BF324" i="82"/>
  <c r="BG324" i="82"/>
  <c r="BH324" i="82"/>
  <c r="BI324" i="82"/>
  <c r="BJ324" i="82"/>
  <c r="BK324" i="82"/>
  <c r="BL324" i="82"/>
  <c r="BM324" i="82"/>
  <c r="BN324" i="82"/>
  <c r="BO324" i="82"/>
  <c r="BP324" i="82"/>
  <c r="BQ324" i="82"/>
  <c r="BR324" i="82"/>
  <c r="A324" i="82"/>
  <c r="E239" i="1"/>
  <c r="E240" i="1"/>
  <c r="E241" i="1"/>
  <c r="E228" i="1"/>
  <c r="E229" i="1"/>
  <c r="E231" i="1"/>
  <c r="E232" i="1"/>
  <c r="E233" i="1"/>
  <c r="E234" i="1"/>
  <c r="E235" i="1"/>
  <c r="AQ347" i="82"/>
  <c r="F347" i="82"/>
  <c r="G347" i="82"/>
  <c r="H347" i="82"/>
  <c r="I347" i="82"/>
  <c r="J347" i="82"/>
  <c r="K347" i="82"/>
  <c r="L347" i="82"/>
  <c r="M347" i="82"/>
  <c r="N347" i="82"/>
  <c r="O347" i="82"/>
  <c r="P347" i="82"/>
  <c r="Q347" i="82"/>
  <c r="R347" i="82"/>
  <c r="S347" i="82"/>
  <c r="T347" i="82"/>
  <c r="U347" i="82"/>
  <c r="V347" i="82"/>
  <c r="W347" i="82"/>
  <c r="X347" i="82"/>
  <c r="Y347" i="82"/>
  <c r="Z347" i="82"/>
  <c r="AA347" i="82"/>
  <c r="AB347" i="82"/>
  <c r="AC347" i="82"/>
  <c r="AD347" i="82"/>
  <c r="AE347" i="82"/>
  <c r="AF347" i="82"/>
  <c r="AG347" i="82"/>
  <c r="AH347" i="82"/>
  <c r="AI347" i="82"/>
  <c r="AJ347" i="82"/>
  <c r="AK347" i="82"/>
  <c r="AL347" i="82"/>
  <c r="AM347" i="82"/>
  <c r="AN347" i="82"/>
  <c r="AO347" i="82"/>
  <c r="AP347" i="82"/>
  <c r="AR347" i="82"/>
  <c r="AS347" i="82"/>
  <c r="AT347" i="82"/>
  <c r="AU347" i="82"/>
  <c r="AV347" i="82"/>
  <c r="AW347" i="82"/>
  <c r="AX347" i="82"/>
  <c r="AY347" i="82"/>
  <c r="AZ347" i="82"/>
  <c r="BA347" i="82"/>
  <c r="BB347" i="82"/>
  <c r="BC347" i="82"/>
  <c r="BD347" i="82"/>
  <c r="BE347" i="82"/>
  <c r="BF347" i="82"/>
  <c r="BG347" i="82"/>
  <c r="BH347" i="82"/>
  <c r="BI347" i="82"/>
  <c r="BK347" i="82"/>
  <c r="BL347" i="82"/>
  <c r="BM347" i="82"/>
  <c r="BN347" i="82"/>
  <c r="BO347" i="82"/>
  <c r="BP347" i="82"/>
  <c r="BQ347" i="82"/>
  <c r="BR347" i="82"/>
  <c r="E347" i="82"/>
  <c r="B285" i="82"/>
  <c r="C285" i="82"/>
  <c r="D285" i="82"/>
  <c r="E285" i="82"/>
  <c r="F285" i="82"/>
  <c r="G285" i="82"/>
  <c r="H285" i="82"/>
  <c r="I285" i="82"/>
  <c r="J285" i="82"/>
  <c r="K285" i="82"/>
  <c r="L285" i="82"/>
  <c r="M285" i="82"/>
  <c r="N285" i="82"/>
  <c r="O285" i="82"/>
  <c r="P285" i="82"/>
  <c r="Q285" i="82"/>
  <c r="R285" i="82"/>
  <c r="S285" i="82"/>
  <c r="T285" i="82"/>
  <c r="U285" i="82"/>
  <c r="V285" i="82"/>
  <c r="W285" i="82"/>
  <c r="X285" i="82"/>
  <c r="Y285" i="82"/>
  <c r="Z285" i="82"/>
  <c r="AA285" i="82"/>
  <c r="AB285" i="82"/>
  <c r="AC285" i="82"/>
  <c r="AD285" i="82"/>
  <c r="AE285" i="82"/>
  <c r="AF285" i="82"/>
  <c r="AG285" i="82"/>
  <c r="AH285" i="82"/>
  <c r="AI285" i="82"/>
  <c r="AJ285" i="82"/>
  <c r="AK285" i="82"/>
  <c r="AL285" i="82"/>
  <c r="AM285" i="82"/>
  <c r="AN285" i="82"/>
  <c r="AO285" i="82"/>
  <c r="AP285" i="82"/>
  <c r="AQ285" i="82"/>
  <c r="AR285" i="82"/>
  <c r="AS285" i="82"/>
  <c r="AT285" i="82"/>
  <c r="AU285" i="82"/>
  <c r="AV285" i="82"/>
  <c r="AW285" i="82"/>
  <c r="AX285" i="82"/>
  <c r="AY285" i="82"/>
  <c r="AZ285" i="82"/>
  <c r="BA285" i="82"/>
  <c r="BB285" i="82"/>
  <c r="BC285" i="82"/>
  <c r="BD285" i="82"/>
  <c r="BE285" i="82"/>
  <c r="BF285" i="82"/>
  <c r="BG285" i="82"/>
  <c r="BH285" i="82"/>
  <c r="BI285" i="82"/>
  <c r="BJ285" i="82"/>
  <c r="BK285" i="82"/>
  <c r="BL285" i="82"/>
  <c r="BM285" i="82"/>
  <c r="BN285" i="82"/>
  <c r="BO285" i="82"/>
  <c r="BP285" i="82"/>
  <c r="BQ285" i="82"/>
  <c r="BR285" i="82"/>
  <c r="B286" i="82"/>
  <c r="C286" i="82"/>
  <c r="D286" i="82"/>
  <c r="E286" i="82"/>
  <c r="F286" i="82"/>
  <c r="G286" i="82"/>
  <c r="H286" i="82"/>
  <c r="I286" i="82"/>
  <c r="J286" i="82"/>
  <c r="K286" i="82"/>
  <c r="L286" i="82"/>
  <c r="M286" i="82"/>
  <c r="N286" i="82"/>
  <c r="O286" i="82"/>
  <c r="P286" i="82"/>
  <c r="Q286" i="82"/>
  <c r="R286" i="82"/>
  <c r="S286" i="82"/>
  <c r="T286" i="82"/>
  <c r="U286" i="82"/>
  <c r="V286" i="82"/>
  <c r="W286" i="82"/>
  <c r="X286" i="82"/>
  <c r="Y286" i="82"/>
  <c r="Z286" i="82"/>
  <c r="AA286" i="82"/>
  <c r="AB286" i="82"/>
  <c r="AC286" i="82"/>
  <c r="AD286" i="82"/>
  <c r="AE286" i="82"/>
  <c r="AF286" i="82"/>
  <c r="AG286" i="82"/>
  <c r="AH286" i="82"/>
  <c r="AI286" i="82"/>
  <c r="AJ286" i="82"/>
  <c r="AK286" i="82"/>
  <c r="AL286" i="82"/>
  <c r="AM286" i="82"/>
  <c r="AN286" i="82"/>
  <c r="AO286" i="82"/>
  <c r="AP286" i="82"/>
  <c r="AQ286" i="82"/>
  <c r="AR286" i="82"/>
  <c r="AS286" i="82"/>
  <c r="AT286" i="82"/>
  <c r="AU286" i="82"/>
  <c r="AV286" i="82"/>
  <c r="AW286" i="82"/>
  <c r="AX286" i="82"/>
  <c r="AY286" i="82"/>
  <c r="AZ286" i="82"/>
  <c r="BA286" i="82"/>
  <c r="BB286" i="82"/>
  <c r="BC286" i="82"/>
  <c r="BD286" i="82"/>
  <c r="BE286" i="82"/>
  <c r="BF286" i="82"/>
  <c r="BG286" i="82"/>
  <c r="BH286" i="82"/>
  <c r="BI286" i="82"/>
  <c r="BJ286" i="82"/>
  <c r="BK286" i="82"/>
  <c r="BL286" i="82"/>
  <c r="BM286" i="82"/>
  <c r="BN286" i="82"/>
  <c r="BO286" i="82"/>
  <c r="BP286" i="82"/>
  <c r="BQ286" i="82"/>
  <c r="BR286" i="82"/>
  <c r="B287" i="82"/>
  <c r="C287" i="82"/>
  <c r="D287" i="82"/>
  <c r="E287" i="82"/>
  <c r="F287" i="82"/>
  <c r="G287" i="82"/>
  <c r="H287" i="82"/>
  <c r="I287" i="82"/>
  <c r="J287" i="82"/>
  <c r="K287" i="82"/>
  <c r="L287" i="82"/>
  <c r="M287" i="82"/>
  <c r="N287" i="82"/>
  <c r="O287" i="82"/>
  <c r="P287" i="82"/>
  <c r="Q287" i="82"/>
  <c r="R287" i="82"/>
  <c r="S287" i="82"/>
  <c r="T287" i="82"/>
  <c r="U287" i="82"/>
  <c r="V287" i="82"/>
  <c r="W287" i="82"/>
  <c r="X287" i="82"/>
  <c r="Y287" i="82"/>
  <c r="Z287" i="82"/>
  <c r="AA287" i="82"/>
  <c r="AB287" i="82"/>
  <c r="AC287" i="82"/>
  <c r="AD287" i="82"/>
  <c r="AE287" i="82"/>
  <c r="AF287" i="82"/>
  <c r="AG287" i="82"/>
  <c r="AH287" i="82"/>
  <c r="AI287" i="82"/>
  <c r="AJ287" i="82"/>
  <c r="AK287" i="82"/>
  <c r="AL287" i="82"/>
  <c r="AM287" i="82"/>
  <c r="AN287" i="82"/>
  <c r="AO287" i="82"/>
  <c r="AP287" i="82"/>
  <c r="AQ287" i="82"/>
  <c r="AR287" i="82"/>
  <c r="AS287" i="82"/>
  <c r="AT287" i="82"/>
  <c r="AU287" i="82"/>
  <c r="AV287" i="82"/>
  <c r="AW287" i="82"/>
  <c r="AX287" i="82"/>
  <c r="AY287" i="82"/>
  <c r="AZ287" i="82"/>
  <c r="BA287" i="82"/>
  <c r="BB287" i="82"/>
  <c r="BC287" i="82"/>
  <c r="BD287" i="82"/>
  <c r="BE287" i="82"/>
  <c r="BF287" i="82"/>
  <c r="BG287" i="82"/>
  <c r="BH287" i="82"/>
  <c r="BI287" i="82"/>
  <c r="BJ287" i="82"/>
  <c r="BK287" i="82"/>
  <c r="BL287" i="82"/>
  <c r="BM287" i="82"/>
  <c r="BN287" i="82"/>
  <c r="BO287" i="82"/>
  <c r="BP287" i="82"/>
  <c r="BQ287" i="82"/>
  <c r="BR287" i="82"/>
  <c r="B288" i="82"/>
  <c r="C288" i="82"/>
  <c r="D288" i="82"/>
  <c r="E288" i="82"/>
  <c r="F288" i="82"/>
  <c r="G288" i="82"/>
  <c r="H288" i="82"/>
  <c r="I288" i="82"/>
  <c r="J288" i="82"/>
  <c r="K288" i="82"/>
  <c r="L288" i="82"/>
  <c r="M288" i="82"/>
  <c r="N288" i="82"/>
  <c r="O288" i="82"/>
  <c r="P288" i="82"/>
  <c r="Q288" i="82"/>
  <c r="R288" i="82"/>
  <c r="S288" i="82"/>
  <c r="T288" i="82"/>
  <c r="U288" i="82"/>
  <c r="V288" i="82"/>
  <c r="W288" i="82"/>
  <c r="X288" i="82"/>
  <c r="Y288" i="82"/>
  <c r="Z288" i="82"/>
  <c r="AA288" i="82"/>
  <c r="AB288" i="82"/>
  <c r="AC288" i="82"/>
  <c r="AD288" i="82"/>
  <c r="AE288" i="82"/>
  <c r="AF288" i="82"/>
  <c r="AG288" i="82"/>
  <c r="AH288" i="82"/>
  <c r="AI288" i="82"/>
  <c r="AJ288" i="82"/>
  <c r="AK288" i="82"/>
  <c r="AL288" i="82"/>
  <c r="AM288" i="82"/>
  <c r="AN288" i="82"/>
  <c r="AO288" i="82"/>
  <c r="AP288" i="82"/>
  <c r="AQ288" i="82"/>
  <c r="AR288" i="82"/>
  <c r="AS288" i="82"/>
  <c r="AT288" i="82"/>
  <c r="AU288" i="82"/>
  <c r="AV288" i="82"/>
  <c r="AW288" i="82"/>
  <c r="AX288" i="82"/>
  <c r="AY288" i="82"/>
  <c r="AZ288" i="82"/>
  <c r="BA288" i="82"/>
  <c r="BB288" i="82"/>
  <c r="BC288" i="82"/>
  <c r="BD288" i="82"/>
  <c r="BE288" i="82"/>
  <c r="BF288" i="82"/>
  <c r="BG288" i="82"/>
  <c r="BH288" i="82"/>
  <c r="BI288" i="82"/>
  <c r="BJ288" i="82"/>
  <c r="BK288" i="82"/>
  <c r="BL288" i="82"/>
  <c r="BM288" i="82"/>
  <c r="BN288" i="82"/>
  <c r="BO288" i="82"/>
  <c r="BP288" i="82"/>
  <c r="BQ288" i="82"/>
  <c r="BR288" i="82"/>
  <c r="B289" i="82"/>
  <c r="C289" i="82"/>
  <c r="D289" i="82"/>
  <c r="E289" i="82"/>
  <c r="F289" i="82"/>
  <c r="G289" i="82"/>
  <c r="H289" i="82"/>
  <c r="I289" i="82"/>
  <c r="J289" i="82"/>
  <c r="K289" i="82"/>
  <c r="L289" i="82"/>
  <c r="M289" i="82"/>
  <c r="N289" i="82"/>
  <c r="O289" i="82"/>
  <c r="P289" i="82"/>
  <c r="Q289" i="82"/>
  <c r="R289" i="82"/>
  <c r="S289" i="82"/>
  <c r="T289" i="82"/>
  <c r="U289" i="82"/>
  <c r="V289" i="82"/>
  <c r="W289" i="82"/>
  <c r="X289" i="82"/>
  <c r="Y289" i="82"/>
  <c r="Z289" i="82"/>
  <c r="AA289" i="82"/>
  <c r="AB289" i="82"/>
  <c r="AC289" i="82"/>
  <c r="AD289" i="82"/>
  <c r="AE289" i="82"/>
  <c r="AF289" i="82"/>
  <c r="AG289" i="82"/>
  <c r="AH289" i="82"/>
  <c r="AI289" i="82"/>
  <c r="AJ289" i="82"/>
  <c r="AK289" i="82"/>
  <c r="AL289" i="82"/>
  <c r="AM289" i="82"/>
  <c r="AN289" i="82"/>
  <c r="AO289" i="82"/>
  <c r="AP289" i="82"/>
  <c r="AQ289" i="82"/>
  <c r="AR289" i="82"/>
  <c r="AS289" i="82"/>
  <c r="AT289" i="82"/>
  <c r="AU289" i="82"/>
  <c r="AV289" i="82"/>
  <c r="AW289" i="82"/>
  <c r="AX289" i="82"/>
  <c r="AY289" i="82"/>
  <c r="AZ289" i="82"/>
  <c r="BA289" i="82"/>
  <c r="BB289" i="82"/>
  <c r="BC289" i="82"/>
  <c r="BD289" i="82"/>
  <c r="BE289" i="82"/>
  <c r="BF289" i="82"/>
  <c r="BG289" i="82"/>
  <c r="BH289" i="82"/>
  <c r="BI289" i="82"/>
  <c r="BJ289" i="82"/>
  <c r="BK289" i="82"/>
  <c r="BL289" i="82"/>
  <c r="BM289" i="82"/>
  <c r="BN289" i="82"/>
  <c r="BO289" i="82"/>
  <c r="BP289" i="82"/>
  <c r="BQ289" i="82"/>
  <c r="BR289" i="82"/>
  <c r="B290" i="82"/>
  <c r="C290" i="82"/>
  <c r="D290" i="82"/>
  <c r="E290" i="82"/>
  <c r="F290" i="82"/>
  <c r="G290" i="82"/>
  <c r="H290" i="82"/>
  <c r="I290" i="82"/>
  <c r="J290" i="82"/>
  <c r="K290" i="82"/>
  <c r="L290" i="82"/>
  <c r="M290" i="82"/>
  <c r="N290" i="82"/>
  <c r="O290" i="82"/>
  <c r="P290" i="82"/>
  <c r="Q290" i="82"/>
  <c r="R290" i="82"/>
  <c r="S290" i="82"/>
  <c r="T290" i="82"/>
  <c r="U290" i="82"/>
  <c r="V290" i="82"/>
  <c r="W290" i="82"/>
  <c r="X290" i="82"/>
  <c r="Y290" i="82"/>
  <c r="Z290" i="82"/>
  <c r="AA290" i="82"/>
  <c r="AB290" i="82"/>
  <c r="AC290" i="82"/>
  <c r="AD290" i="82"/>
  <c r="AE290" i="82"/>
  <c r="AF290" i="82"/>
  <c r="AG290" i="82"/>
  <c r="AH290" i="82"/>
  <c r="AI290" i="82"/>
  <c r="AJ290" i="82"/>
  <c r="AK290" i="82"/>
  <c r="AL290" i="82"/>
  <c r="AM290" i="82"/>
  <c r="AN290" i="82"/>
  <c r="AO290" i="82"/>
  <c r="AP290" i="82"/>
  <c r="AQ290" i="82"/>
  <c r="AR290" i="82"/>
  <c r="AS290" i="82"/>
  <c r="AT290" i="82"/>
  <c r="AU290" i="82"/>
  <c r="AV290" i="82"/>
  <c r="AW290" i="82"/>
  <c r="AX290" i="82"/>
  <c r="AY290" i="82"/>
  <c r="AZ290" i="82"/>
  <c r="BA290" i="82"/>
  <c r="BB290" i="82"/>
  <c r="BC290" i="82"/>
  <c r="BD290" i="82"/>
  <c r="BE290" i="82"/>
  <c r="BF290" i="82"/>
  <c r="BG290" i="82"/>
  <c r="BH290" i="82"/>
  <c r="BI290" i="82"/>
  <c r="BJ290" i="82"/>
  <c r="BK290" i="82"/>
  <c r="BL290" i="82"/>
  <c r="BM290" i="82"/>
  <c r="BN290" i="82"/>
  <c r="BO290" i="82"/>
  <c r="BP290" i="82"/>
  <c r="BQ290" i="82"/>
  <c r="BR290" i="82"/>
  <c r="B291" i="82"/>
  <c r="C291" i="82"/>
  <c r="D291" i="82"/>
  <c r="E291" i="82"/>
  <c r="F291" i="82"/>
  <c r="G291" i="82"/>
  <c r="H291" i="82"/>
  <c r="I291" i="82"/>
  <c r="J291" i="82"/>
  <c r="K291" i="82"/>
  <c r="L291" i="82"/>
  <c r="M291" i="82"/>
  <c r="N291" i="82"/>
  <c r="O291" i="82"/>
  <c r="P291" i="82"/>
  <c r="Q291" i="82"/>
  <c r="R291" i="82"/>
  <c r="S291" i="82"/>
  <c r="T291" i="82"/>
  <c r="U291" i="82"/>
  <c r="V291" i="82"/>
  <c r="W291" i="82"/>
  <c r="X291" i="82"/>
  <c r="Y291" i="82"/>
  <c r="Z291" i="82"/>
  <c r="AA291" i="82"/>
  <c r="AB291" i="82"/>
  <c r="AC291" i="82"/>
  <c r="AD291" i="82"/>
  <c r="AE291" i="82"/>
  <c r="AF291" i="82"/>
  <c r="AG291" i="82"/>
  <c r="AH291" i="82"/>
  <c r="AI291" i="82"/>
  <c r="AJ291" i="82"/>
  <c r="AK291" i="82"/>
  <c r="AL291" i="82"/>
  <c r="AM291" i="82"/>
  <c r="AN291" i="82"/>
  <c r="AO291" i="82"/>
  <c r="AP291" i="82"/>
  <c r="AQ291" i="82"/>
  <c r="AR291" i="82"/>
  <c r="AS291" i="82"/>
  <c r="AT291" i="82"/>
  <c r="AU291" i="82"/>
  <c r="AV291" i="82"/>
  <c r="AW291" i="82"/>
  <c r="AX291" i="82"/>
  <c r="AY291" i="82"/>
  <c r="AZ291" i="82"/>
  <c r="BA291" i="82"/>
  <c r="BB291" i="82"/>
  <c r="BC291" i="82"/>
  <c r="BD291" i="82"/>
  <c r="BE291" i="82"/>
  <c r="BF291" i="82"/>
  <c r="BG291" i="82"/>
  <c r="BH291" i="82"/>
  <c r="BI291" i="82"/>
  <c r="BJ291" i="82"/>
  <c r="BK291" i="82"/>
  <c r="BL291" i="82"/>
  <c r="BM291" i="82"/>
  <c r="BN291" i="82"/>
  <c r="BO291" i="82"/>
  <c r="BP291" i="82"/>
  <c r="BQ291" i="82"/>
  <c r="BR291" i="82"/>
  <c r="B292" i="82"/>
  <c r="C292" i="82"/>
  <c r="D292" i="82"/>
  <c r="E292" i="82"/>
  <c r="F292" i="82"/>
  <c r="G292" i="82"/>
  <c r="H292" i="82"/>
  <c r="I292" i="82"/>
  <c r="J292" i="82"/>
  <c r="K292" i="82"/>
  <c r="L292" i="82"/>
  <c r="M292" i="82"/>
  <c r="N292" i="82"/>
  <c r="O292" i="82"/>
  <c r="P292" i="82"/>
  <c r="Q292" i="82"/>
  <c r="R292" i="82"/>
  <c r="S292" i="82"/>
  <c r="T292" i="82"/>
  <c r="U292" i="82"/>
  <c r="V292" i="82"/>
  <c r="W292" i="82"/>
  <c r="X292" i="82"/>
  <c r="Y292" i="82"/>
  <c r="Z292" i="82"/>
  <c r="AA292" i="82"/>
  <c r="AB292" i="82"/>
  <c r="AC292" i="82"/>
  <c r="AD292" i="82"/>
  <c r="AE292" i="82"/>
  <c r="AF292" i="82"/>
  <c r="AG292" i="82"/>
  <c r="AH292" i="82"/>
  <c r="AI292" i="82"/>
  <c r="AJ292" i="82"/>
  <c r="AK292" i="82"/>
  <c r="AL292" i="82"/>
  <c r="AM292" i="82"/>
  <c r="AN292" i="82"/>
  <c r="AO292" i="82"/>
  <c r="AP292" i="82"/>
  <c r="AQ292" i="82"/>
  <c r="AR292" i="82"/>
  <c r="AS292" i="82"/>
  <c r="AT292" i="82"/>
  <c r="AU292" i="82"/>
  <c r="AV292" i="82"/>
  <c r="AW292" i="82"/>
  <c r="AX292" i="82"/>
  <c r="AY292" i="82"/>
  <c r="AZ292" i="82"/>
  <c r="BA292" i="82"/>
  <c r="BB292" i="82"/>
  <c r="BC292" i="82"/>
  <c r="BD292" i="82"/>
  <c r="BE292" i="82"/>
  <c r="BF292" i="82"/>
  <c r="BG292" i="82"/>
  <c r="BH292" i="82"/>
  <c r="BI292" i="82"/>
  <c r="BJ292" i="82"/>
  <c r="BK292" i="82"/>
  <c r="BL292" i="82"/>
  <c r="BM292" i="82"/>
  <c r="BN292" i="82"/>
  <c r="BO292" i="82"/>
  <c r="BP292" i="82"/>
  <c r="BQ292" i="82"/>
  <c r="BR292" i="82"/>
  <c r="B293" i="82"/>
  <c r="C293" i="82"/>
  <c r="D293" i="82"/>
  <c r="E293" i="82"/>
  <c r="F293" i="82"/>
  <c r="G293" i="82"/>
  <c r="H293" i="82"/>
  <c r="I293" i="82"/>
  <c r="J293" i="82"/>
  <c r="K293" i="82"/>
  <c r="L293" i="82"/>
  <c r="M293" i="82"/>
  <c r="N293" i="82"/>
  <c r="O293" i="82"/>
  <c r="P293" i="82"/>
  <c r="Q293" i="82"/>
  <c r="R293" i="82"/>
  <c r="S293" i="82"/>
  <c r="T293" i="82"/>
  <c r="U293" i="82"/>
  <c r="V293" i="82"/>
  <c r="W293" i="82"/>
  <c r="X293" i="82"/>
  <c r="Y293" i="82"/>
  <c r="Z293" i="82"/>
  <c r="AA293" i="82"/>
  <c r="AB293" i="82"/>
  <c r="AC293" i="82"/>
  <c r="AD293" i="82"/>
  <c r="AE293" i="82"/>
  <c r="AF293" i="82"/>
  <c r="AG293" i="82"/>
  <c r="AH293" i="82"/>
  <c r="AI293" i="82"/>
  <c r="AJ293" i="82"/>
  <c r="AK293" i="82"/>
  <c r="AL293" i="82"/>
  <c r="AM293" i="82"/>
  <c r="AN293" i="82"/>
  <c r="AO293" i="82"/>
  <c r="AP293" i="82"/>
  <c r="AQ293" i="82"/>
  <c r="AR293" i="82"/>
  <c r="AS293" i="82"/>
  <c r="AT293" i="82"/>
  <c r="AU293" i="82"/>
  <c r="AV293" i="82"/>
  <c r="AW293" i="82"/>
  <c r="AX293" i="82"/>
  <c r="AY293" i="82"/>
  <c r="AZ293" i="82"/>
  <c r="BA293" i="82"/>
  <c r="BB293" i="82"/>
  <c r="BC293" i="82"/>
  <c r="BD293" i="82"/>
  <c r="BE293" i="82"/>
  <c r="BF293" i="82"/>
  <c r="BG293" i="82"/>
  <c r="BH293" i="82"/>
  <c r="BI293" i="82"/>
  <c r="BJ293" i="82"/>
  <c r="BK293" i="82"/>
  <c r="BL293" i="82"/>
  <c r="BM293" i="82"/>
  <c r="BN293" i="82"/>
  <c r="BO293" i="82"/>
  <c r="BP293" i="82"/>
  <c r="BQ293" i="82"/>
  <c r="BR293" i="82"/>
  <c r="B294" i="82"/>
  <c r="C294" i="82"/>
  <c r="D294" i="82"/>
  <c r="E294" i="82"/>
  <c r="F294" i="82"/>
  <c r="G294" i="82"/>
  <c r="H294" i="82"/>
  <c r="I294" i="82"/>
  <c r="J294" i="82"/>
  <c r="K294" i="82"/>
  <c r="L294" i="82"/>
  <c r="M294" i="82"/>
  <c r="N294" i="82"/>
  <c r="O294" i="82"/>
  <c r="P294" i="82"/>
  <c r="Q294" i="82"/>
  <c r="R294" i="82"/>
  <c r="S294" i="82"/>
  <c r="T294" i="82"/>
  <c r="U294" i="82"/>
  <c r="V294" i="82"/>
  <c r="W294" i="82"/>
  <c r="X294" i="82"/>
  <c r="Y294" i="82"/>
  <c r="Z294" i="82"/>
  <c r="AA294" i="82"/>
  <c r="AB294" i="82"/>
  <c r="AC294" i="82"/>
  <c r="AD294" i="82"/>
  <c r="AE294" i="82"/>
  <c r="AF294" i="82"/>
  <c r="AG294" i="82"/>
  <c r="AH294" i="82"/>
  <c r="AI294" i="82"/>
  <c r="AJ294" i="82"/>
  <c r="AK294" i="82"/>
  <c r="AL294" i="82"/>
  <c r="AM294" i="82"/>
  <c r="AN294" i="82"/>
  <c r="AO294" i="82"/>
  <c r="AP294" i="82"/>
  <c r="AQ294" i="82"/>
  <c r="AR294" i="82"/>
  <c r="AS294" i="82"/>
  <c r="AT294" i="82"/>
  <c r="AU294" i="82"/>
  <c r="AV294" i="82"/>
  <c r="AW294" i="82"/>
  <c r="AX294" i="82"/>
  <c r="AY294" i="82"/>
  <c r="AZ294" i="82"/>
  <c r="BA294" i="82"/>
  <c r="BB294" i="82"/>
  <c r="BC294" i="82"/>
  <c r="BD294" i="82"/>
  <c r="BE294" i="82"/>
  <c r="BF294" i="82"/>
  <c r="BG294" i="82"/>
  <c r="BH294" i="82"/>
  <c r="BI294" i="82"/>
  <c r="BJ294" i="82"/>
  <c r="BK294" i="82"/>
  <c r="BL294" i="82"/>
  <c r="BM294" i="82"/>
  <c r="BN294" i="82"/>
  <c r="BO294" i="82"/>
  <c r="BP294" i="82"/>
  <c r="BQ294" i="82"/>
  <c r="BR294" i="82"/>
  <c r="B295" i="82"/>
  <c r="C295" i="82"/>
  <c r="D295" i="82"/>
  <c r="E295" i="82"/>
  <c r="F295" i="82"/>
  <c r="G295" i="82"/>
  <c r="H295" i="82"/>
  <c r="I295" i="82"/>
  <c r="J295" i="82"/>
  <c r="K295" i="82"/>
  <c r="L295" i="82"/>
  <c r="M295" i="82"/>
  <c r="N295" i="82"/>
  <c r="O295" i="82"/>
  <c r="P295" i="82"/>
  <c r="Q295" i="82"/>
  <c r="R295" i="82"/>
  <c r="S295" i="82"/>
  <c r="T295" i="82"/>
  <c r="U295" i="82"/>
  <c r="V295" i="82"/>
  <c r="W295" i="82"/>
  <c r="X295" i="82"/>
  <c r="Y295" i="82"/>
  <c r="Z295" i="82"/>
  <c r="AA295" i="82"/>
  <c r="AB295" i="82"/>
  <c r="AC295" i="82"/>
  <c r="AD295" i="82"/>
  <c r="AE295" i="82"/>
  <c r="AF295" i="82"/>
  <c r="AG295" i="82"/>
  <c r="AH295" i="82"/>
  <c r="AI295" i="82"/>
  <c r="AJ295" i="82"/>
  <c r="AK295" i="82"/>
  <c r="AL295" i="82"/>
  <c r="AM295" i="82"/>
  <c r="AN295" i="82"/>
  <c r="AO295" i="82"/>
  <c r="AP295" i="82"/>
  <c r="AQ295" i="82"/>
  <c r="AR295" i="82"/>
  <c r="AS295" i="82"/>
  <c r="AT295" i="82"/>
  <c r="AU295" i="82"/>
  <c r="AV295" i="82"/>
  <c r="AW295" i="82"/>
  <c r="AX295" i="82"/>
  <c r="AY295" i="82"/>
  <c r="AZ295" i="82"/>
  <c r="BA295" i="82"/>
  <c r="BB295" i="82"/>
  <c r="BC295" i="82"/>
  <c r="BD295" i="82"/>
  <c r="BE295" i="82"/>
  <c r="BF295" i="82"/>
  <c r="BG295" i="82"/>
  <c r="BH295" i="82"/>
  <c r="BI295" i="82"/>
  <c r="BJ295" i="82"/>
  <c r="BK295" i="82"/>
  <c r="BL295" i="82"/>
  <c r="BM295" i="82"/>
  <c r="BN295" i="82"/>
  <c r="BO295" i="82"/>
  <c r="BP295" i="82"/>
  <c r="BQ295" i="82"/>
  <c r="BR295" i="82"/>
  <c r="B296" i="82"/>
  <c r="C296" i="82"/>
  <c r="D296" i="82"/>
  <c r="E296" i="82"/>
  <c r="F296" i="82"/>
  <c r="G296" i="82"/>
  <c r="H296" i="82"/>
  <c r="I296" i="82"/>
  <c r="J296" i="82"/>
  <c r="K296" i="82"/>
  <c r="L296" i="82"/>
  <c r="M296" i="82"/>
  <c r="N296" i="82"/>
  <c r="O296" i="82"/>
  <c r="P296" i="82"/>
  <c r="Q296" i="82"/>
  <c r="R296" i="82"/>
  <c r="S296" i="82"/>
  <c r="T296" i="82"/>
  <c r="U296" i="82"/>
  <c r="V296" i="82"/>
  <c r="W296" i="82"/>
  <c r="X296" i="82"/>
  <c r="Y296" i="82"/>
  <c r="Z296" i="82"/>
  <c r="AA296" i="82"/>
  <c r="AB296" i="82"/>
  <c r="AC296" i="82"/>
  <c r="AD296" i="82"/>
  <c r="AE296" i="82"/>
  <c r="AF296" i="82"/>
  <c r="AG296" i="82"/>
  <c r="AH296" i="82"/>
  <c r="AI296" i="82"/>
  <c r="AJ296" i="82"/>
  <c r="AK296" i="82"/>
  <c r="AL296" i="82"/>
  <c r="AM296" i="82"/>
  <c r="AN296" i="82"/>
  <c r="AO296" i="82"/>
  <c r="AP296" i="82"/>
  <c r="AQ296" i="82"/>
  <c r="AR296" i="82"/>
  <c r="AS296" i="82"/>
  <c r="AT296" i="82"/>
  <c r="AU296" i="82"/>
  <c r="AV296" i="82"/>
  <c r="AW296" i="82"/>
  <c r="AX296" i="82"/>
  <c r="AY296" i="82"/>
  <c r="AZ296" i="82"/>
  <c r="BA296" i="82"/>
  <c r="BB296" i="82"/>
  <c r="BC296" i="82"/>
  <c r="BD296" i="82"/>
  <c r="BE296" i="82"/>
  <c r="BF296" i="82"/>
  <c r="BG296" i="82"/>
  <c r="BH296" i="82"/>
  <c r="BI296" i="82"/>
  <c r="BJ296" i="82"/>
  <c r="BK296" i="82"/>
  <c r="BL296" i="82"/>
  <c r="BM296" i="82"/>
  <c r="BN296" i="82"/>
  <c r="BO296" i="82"/>
  <c r="BP296" i="82"/>
  <c r="BQ296" i="82"/>
  <c r="BR296" i="82"/>
  <c r="B297" i="82"/>
  <c r="C297" i="82"/>
  <c r="D297" i="82"/>
  <c r="E297" i="82"/>
  <c r="F297" i="82"/>
  <c r="G297" i="82"/>
  <c r="H297" i="82"/>
  <c r="I297" i="82"/>
  <c r="J297" i="82"/>
  <c r="K297" i="82"/>
  <c r="L297" i="82"/>
  <c r="M297" i="82"/>
  <c r="N297" i="82"/>
  <c r="O297" i="82"/>
  <c r="P297" i="82"/>
  <c r="Q297" i="82"/>
  <c r="R297" i="82"/>
  <c r="S297" i="82"/>
  <c r="T297" i="82"/>
  <c r="U297" i="82"/>
  <c r="V297" i="82"/>
  <c r="W297" i="82"/>
  <c r="X297" i="82"/>
  <c r="Y297" i="82"/>
  <c r="Z297" i="82"/>
  <c r="AA297" i="82"/>
  <c r="AB297" i="82"/>
  <c r="AC297" i="82"/>
  <c r="AD297" i="82"/>
  <c r="AE297" i="82"/>
  <c r="AF297" i="82"/>
  <c r="AG297" i="82"/>
  <c r="AH297" i="82"/>
  <c r="AI297" i="82"/>
  <c r="AJ297" i="82"/>
  <c r="AK297" i="82"/>
  <c r="AL297" i="82"/>
  <c r="AM297" i="82"/>
  <c r="AN297" i="82"/>
  <c r="AO297" i="82"/>
  <c r="AP297" i="82"/>
  <c r="AQ297" i="82"/>
  <c r="AR297" i="82"/>
  <c r="AS297" i="82"/>
  <c r="AT297" i="82"/>
  <c r="AU297" i="82"/>
  <c r="AV297" i="82"/>
  <c r="AW297" i="82"/>
  <c r="AX297" i="82"/>
  <c r="AY297" i="82"/>
  <c r="AZ297" i="82"/>
  <c r="BA297" i="82"/>
  <c r="BB297" i="82"/>
  <c r="BC297" i="82"/>
  <c r="BD297" i="82"/>
  <c r="BE297" i="82"/>
  <c r="BF297" i="82"/>
  <c r="BG297" i="82"/>
  <c r="BH297" i="82"/>
  <c r="BI297" i="82"/>
  <c r="BJ297" i="82"/>
  <c r="BK297" i="82"/>
  <c r="BL297" i="82"/>
  <c r="BM297" i="82"/>
  <c r="BN297" i="82"/>
  <c r="BO297" i="82"/>
  <c r="BP297" i="82"/>
  <c r="BQ297" i="82"/>
  <c r="BR297" i="82"/>
  <c r="B298" i="82"/>
  <c r="C298" i="82"/>
  <c r="D298" i="82"/>
  <c r="E298" i="82"/>
  <c r="F298" i="82"/>
  <c r="G298" i="82"/>
  <c r="H298" i="82"/>
  <c r="I298" i="82"/>
  <c r="J298" i="82"/>
  <c r="K298" i="82"/>
  <c r="L298" i="82"/>
  <c r="M298" i="82"/>
  <c r="N298" i="82"/>
  <c r="O298" i="82"/>
  <c r="P298" i="82"/>
  <c r="Q298" i="82"/>
  <c r="R298" i="82"/>
  <c r="S298" i="82"/>
  <c r="T298" i="82"/>
  <c r="U298" i="82"/>
  <c r="V298" i="82"/>
  <c r="W298" i="82"/>
  <c r="X298" i="82"/>
  <c r="Y298" i="82"/>
  <c r="Z298" i="82"/>
  <c r="AA298" i="82"/>
  <c r="AB298" i="82"/>
  <c r="AC298" i="82"/>
  <c r="AD298" i="82"/>
  <c r="AE298" i="82"/>
  <c r="AF298" i="82"/>
  <c r="AG298" i="82"/>
  <c r="AH298" i="82"/>
  <c r="AI298" i="82"/>
  <c r="AJ298" i="82"/>
  <c r="AK298" i="82"/>
  <c r="AL298" i="82"/>
  <c r="AM298" i="82"/>
  <c r="AN298" i="82"/>
  <c r="AO298" i="82"/>
  <c r="AP298" i="82"/>
  <c r="AQ298" i="82"/>
  <c r="AR298" i="82"/>
  <c r="AS298" i="82"/>
  <c r="AT298" i="82"/>
  <c r="AU298" i="82"/>
  <c r="AV298" i="82"/>
  <c r="AW298" i="82"/>
  <c r="AX298" i="82"/>
  <c r="AY298" i="82"/>
  <c r="AZ298" i="82"/>
  <c r="BA298" i="82"/>
  <c r="BB298" i="82"/>
  <c r="BC298" i="82"/>
  <c r="BD298" i="82"/>
  <c r="BE298" i="82"/>
  <c r="BF298" i="82"/>
  <c r="BG298" i="82"/>
  <c r="BH298" i="82"/>
  <c r="BI298" i="82"/>
  <c r="BJ298" i="82"/>
  <c r="BK298" i="82"/>
  <c r="BL298" i="82"/>
  <c r="BM298" i="82"/>
  <c r="BN298" i="82"/>
  <c r="BO298" i="82"/>
  <c r="BP298" i="82"/>
  <c r="BQ298" i="82"/>
  <c r="BR298" i="82"/>
  <c r="B299" i="82"/>
  <c r="C299" i="82"/>
  <c r="D299" i="82"/>
  <c r="E299" i="82"/>
  <c r="F299" i="82"/>
  <c r="G299" i="82"/>
  <c r="H299" i="82"/>
  <c r="I299" i="82"/>
  <c r="J299" i="82"/>
  <c r="K299" i="82"/>
  <c r="L299" i="82"/>
  <c r="M299" i="82"/>
  <c r="N299" i="82"/>
  <c r="O299" i="82"/>
  <c r="P299" i="82"/>
  <c r="Q299" i="82"/>
  <c r="R299" i="82"/>
  <c r="S299" i="82"/>
  <c r="T299" i="82"/>
  <c r="U299" i="82"/>
  <c r="V299" i="82"/>
  <c r="W299" i="82"/>
  <c r="X299" i="82"/>
  <c r="Y299" i="82"/>
  <c r="Z299" i="82"/>
  <c r="AA299" i="82"/>
  <c r="AB299" i="82"/>
  <c r="AC299" i="82"/>
  <c r="AD299" i="82"/>
  <c r="AE299" i="82"/>
  <c r="AF299" i="82"/>
  <c r="AG299" i="82"/>
  <c r="AH299" i="82"/>
  <c r="AI299" i="82"/>
  <c r="AJ299" i="82"/>
  <c r="AK299" i="82"/>
  <c r="AL299" i="82"/>
  <c r="AM299" i="82"/>
  <c r="AN299" i="82"/>
  <c r="AO299" i="82"/>
  <c r="AP299" i="82"/>
  <c r="AQ299" i="82"/>
  <c r="AR299" i="82"/>
  <c r="AS299" i="82"/>
  <c r="AT299" i="82"/>
  <c r="AU299" i="82"/>
  <c r="AV299" i="82"/>
  <c r="AW299" i="82"/>
  <c r="AX299" i="82"/>
  <c r="AY299" i="82"/>
  <c r="AZ299" i="82"/>
  <c r="BA299" i="82"/>
  <c r="BB299" i="82"/>
  <c r="BC299" i="82"/>
  <c r="BD299" i="82"/>
  <c r="BE299" i="82"/>
  <c r="BF299" i="82"/>
  <c r="BG299" i="82"/>
  <c r="BH299" i="82"/>
  <c r="BI299" i="82"/>
  <c r="BJ299" i="82"/>
  <c r="BK299" i="82"/>
  <c r="BL299" i="82"/>
  <c r="BM299" i="82"/>
  <c r="BN299" i="82"/>
  <c r="BO299" i="82"/>
  <c r="BP299" i="82"/>
  <c r="BQ299" i="82"/>
  <c r="BR299" i="82"/>
  <c r="B300" i="82"/>
  <c r="C300" i="82"/>
  <c r="D300" i="82"/>
  <c r="E300" i="82"/>
  <c r="F300" i="82"/>
  <c r="G300" i="82"/>
  <c r="H300" i="82"/>
  <c r="I300" i="82"/>
  <c r="J300" i="82"/>
  <c r="K300" i="82"/>
  <c r="L300" i="82"/>
  <c r="M300" i="82"/>
  <c r="N300" i="82"/>
  <c r="O300" i="82"/>
  <c r="P300" i="82"/>
  <c r="Q300" i="82"/>
  <c r="R300" i="82"/>
  <c r="S300" i="82"/>
  <c r="T300" i="82"/>
  <c r="U300" i="82"/>
  <c r="V300" i="82"/>
  <c r="W300" i="82"/>
  <c r="X300" i="82"/>
  <c r="Y300" i="82"/>
  <c r="Z300" i="82"/>
  <c r="AA300" i="82"/>
  <c r="AB300" i="82"/>
  <c r="AC300" i="82"/>
  <c r="AD300" i="82"/>
  <c r="AE300" i="82"/>
  <c r="AF300" i="82"/>
  <c r="AG300" i="82"/>
  <c r="AH300" i="82"/>
  <c r="AI300" i="82"/>
  <c r="AJ300" i="82"/>
  <c r="AK300" i="82"/>
  <c r="AL300" i="82"/>
  <c r="AM300" i="82"/>
  <c r="AN300" i="82"/>
  <c r="AO300" i="82"/>
  <c r="AP300" i="82"/>
  <c r="AQ300" i="82"/>
  <c r="AR300" i="82"/>
  <c r="AS300" i="82"/>
  <c r="AT300" i="82"/>
  <c r="AU300" i="82"/>
  <c r="AV300" i="82"/>
  <c r="AW300" i="82"/>
  <c r="AX300" i="82"/>
  <c r="AY300" i="82"/>
  <c r="AZ300" i="82"/>
  <c r="BA300" i="82"/>
  <c r="BB300" i="82"/>
  <c r="BC300" i="82"/>
  <c r="BD300" i="82"/>
  <c r="BE300" i="82"/>
  <c r="BF300" i="82"/>
  <c r="BG300" i="82"/>
  <c r="BH300" i="82"/>
  <c r="BI300" i="82"/>
  <c r="BJ300" i="82"/>
  <c r="BK300" i="82"/>
  <c r="BL300" i="82"/>
  <c r="BM300" i="82"/>
  <c r="BN300" i="82"/>
  <c r="BO300" i="82"/>
  <c r="BP300" i="82"/>
  <c r="BQ300" i="82"/>
  <c r="BR300" i="82"/>
  <c r="B301" i="82"/>
  <c r="C301" i="82"/>
  <c r="D301" i="82"/>
  <c r="E301" i="82"/>
  <c r="F301" i="82"/>
  <c r="G301" i="82"/>
  <c r="H301" i="82"/>
  <c r="I301" i="82"/>
  <c r="J301" i="82"/>
  <c r="K301" i="82"/>
  <c r="L301" i="82"/>
  <c r="M301" i="82"/>
  <c r="N301" i="82"/>
  <c r="O301" i="82"/>
  <c r="P301" i="82"/>
  <c r="Q301" i="82"/>
  <c r="R301" i="82"/>
  <c r="S301" i="82"/>
  <c r="T301" i="82"/>
  <c r="U301" i="82"/>
  <c r="V301" i="82"/>
  <c r="W301" i="82"/>
  <c r="X301" i="82"/>
  <c r="Y301" i="82"/>
  <c r="Z301" i="82"/>
  <c r="AA301" i="82"/>
  <c r="AB301" i="82"/>
  <c r="AC301" i="82"/>
  <c r="AD301" i="82"/>
  <c r="AE301" i="82"/>
  <c r="AF301" i="82"/>
  <c r="AG301" i="82"/>
  <c r="AH301" i="82"/>
  <c r="AI301" i="82"/>
  <c r="AJ301" i="82"/>
  <c r="AK301" i="82"/>
  <c r="AL301" i="82"/>
  <c r="AM301" i="82"/>
  <c r="AN301" i="82"/>
  <c r="AO301" i="82"/>
  <c r="AP301" i="82"/>
  <c r="AQ301" i="82"/>
  <c r="AR301" i="82"/>
  <c r="AS301" i="82"/>
  <c r="AT301" i="82"/>
  <c r="AU301" i="82"/>
  <c r="AV301" i="82"/>
  <c r="AW301" i="82"/>
  <c r="AX301" i="82"/>
  <c r="AY301" i="82"/>
  <c r="AZ301" i="82"/>
  <c r="BA301" i="82"/>
  <c r="BB301" i="82"/>
  <c r="BC301" i="82"/>
  <c r="BD301" i="82"/>
  <c r="BE301" i="82"/>
  <c r="BF301" i="82"/>
  <c r="BG301" i="82"/>
  <c r="BH301" i="82"/>
  <c r="BI301" i="82"/>
  <c r="BJ301" i="82"/>
  <c r="BK301" i="82"/>
  <c r="BL301" i="82"/>
  <c r="BM301" i="82"/>
  <c r="BN301" i="82"/>
  <c r="BO301" i="82"/>
  <c r="BP301" i="82"/>
  <c r="BQ301" i="82"/>
  <c r="BR301" i="82"/>
  <c r="B302" i="82"/>
  <c r="C302" i="82"/>
  <c r="D302" i="82"/>
  <c r="E302" i="82"/>
  <c r="F302" i="82"/>
  <c r="G302" i="82"/>
  <c r="H302" i="82"/>
  <c r="I302" i="82"/>
  <c r="J302" i="82"/>
  <c r="K302" i="82"/>
  <c r="L302" i="82"/>
  <c r="M302" i="82"/>
  <c r="N302" i="82"/>
  <c r="O302" i="82"/>
  <c r="P302" i="82"/>
  <c r="Q302" i="82"/>
  <c r="R302" i="82"/>
  <c r="S302" i="82"/>
  <c r="T302" i="82"/>
  <c r="U302" i="82"/>
  <c r="V302" i="82"/>
  <c r="W302" i="82"/>
  <c r="X302" i="82"/>
  <c r="Y302" i="82"/>
  <c r="Z302" i="82"/>
  <c r="AA302" i="82"/>
  <c r="AB302" i="82"/>
  <c r="AC302" i="82"/>
  <c r="AD302" i="82"/>
  <c r="AE302" i="82"/>
  <c r="AF302" i="82"/>
  <c r="AG302" i="82"/>
  <c r="AH302" i="82"/>
  <c r="AI302" i="82"/>
  <c r="AJ302" i="82"/>
  <c r="AK302" i="82"/>
  <c r="AL302" i="82"/>
  <c r="AM302" i="82"/>
  <c r="AN302" i="82"/>
  <c r="AO302" i="82"/>
  <c r="AP302" i="82"/>
  <c r="AQ302" i="82"/>
  <c r="AR302" i="82"/>
  <c r="AS302" i="82"/>
  <c r="AT302" i="82"/>
  <c r="AU302" i="82"/>
  <c r="AV302" i="82"/>
  <c r="AW302" i="82"/>
  <c r="AX302" i="82"/>
  <c r="AY302" i="82"/>
  <c r="AZ302" i="82"/>
  <c r="BA302" i="82"/>
  <c r="BB302" i="82"/>
  <c r="BC302" i="82"/>
  <c r="BD302" i="82"/>
  <c r="BE302" i="82"/>
  <c r="BF302" i="82"/>
  <c r="BG302" i="82"/>
  <c r="BH302" i="82"/>
  <c r="BI302" i="82"/>
  <c r="BJ302" i="82"/>
  <c r="BK302" i="82"/>
  <c r="BL302" i="82"/>
  <c r="BM302" i="82"/>
  <c r="BN302" i="82"/>
  <c r="BO302" i="82"/>
  <c r="BP302" i="82"/>
  <c r="BQ302" i="82"/>
  <c r="BR302" i="82"/>
  <c r="B303" i="82"/>
  <c r="C303" i="82"/>
  <c r="D303" i="82"/>
  <c r="E303" i="82"/>
  <c r="F303" i="82"/>
  <c r="G303" i="82"/>
  <c r="H303" i="82"/>
  <c r="I303" i="82"/>
  <c r="J303" i="82"/>
  <c r="K303" i="82"/>
  <c r="L303" i="82"/>
  <c r="M303" i="82"/>
  <c r="N303" i="82"/>
  <c r="O303" i="82"/>
  <c r="P303" i="82"/>
  <c r="Q303" i="82"/>
  <c r="R303" i="82"/>
  <c r="S303" i="82"/>
  <c r="T303" i="82"/>
  <c r="U303" i="82"/>
  <c r="V303" i="82"/>
  <c r="W303" i="82"/>
  <c r="X303" i="82"/>
  <c r="Y303" i="82"/>
  <c r="Z303" i="82"/>
  <c r="AA303" i="82"/>
  <c r="AB303" i="82"/>
  <c r="AC303" i="82"/>
  <c r="AD303" i="82"/>
  <c r="AE303" i="82"/>
  <c r="AF303" i="82"/>
  <c r="AG303" i="82"/>
  <c r="AH303" i="82"/>
  <c r="AI303" i="82"/>
  <c r="AJ303" i="82"/>
  <c r="AK303" i="82"/>
  <c r="AL303" i="82"/>
  <c r="AM303" i="82"/>
  <c r="AN303" i="82"/>
  <c r="AO303" i="82"/>
  <c r="AP303" i="82"/>
  <c r="AQ303" i="82"/>
  <c r="AR303" i="82"/>
  <c r="AS303" i="82"/>
  <c r="AT303" i="82"/>
  <c r="AU303" i="82"/>
  <c r="AV303" i="82"/>
  <c r="AW303" i="82"/>
  <c r="AX303" i="82"/>
  <c r="AY303" i="82"/>
  <c r="AZ303" i="82"/>
  <c r="BA303" i="82"/>
  <c r="BB303" i="82"/>
  <c r="BC303" i="82"/>
  <c r="BD303" i="82"/>
  <c r="BE303" i="82"/>
  <c r="BF303" i="82"/>
  <c r="BG303" i="82"/>
  <c r="BH303" i="82"/>
  <c r="BI303" i="82"/>
  <c r="BJ303" i="82"/>
  <c r="BK303" i="82"/>
  <c r="BL303" i="82"/>
  <c r="BM303" i="82"/>
  <c r="BN303" i="82"/>
  <c r="BO303" i="82"/>
  <c r="BP303" i="82"/>
  <c r="BQ303" i="82"/>
  <c r="BR303" i="82"/>
  <c r="B304" i="82"/>
  <c r="C304" i="82"/>
  <c r="D304" i="82"/>
  <c r="E304" i="82"/>
  <c r="F304" i="82"/>
  <c r="G304" i="82"/>
  <c r="H304" i="82"/>
  <c r="I304" i="82"/>
  <c r="J304" i="82"/>
  <c r="K304" i="82"/>
  <c r="L304" i="82"/>
  <c r="M304" i="82"/>
  <c r="N304" i="82"/>
  <c r="O304" i="82"/>
  <c r="P304" i="82"/>
  <c r="Q304" i="82"/>
  <c r="R304" i="82"/>
  <c r="S304" i="82"/>
  <c r="T304" i="82"/>
  <c r="U304" i="82"/>
  <c r="V304" i="82"/>
  <c r="W304" i="82"/>
  <c r="X304" i="82"/>
  <c r="Y304" i="82"/>
  <c r="Z304" i="82"/>
  <c r="AA304" i="82"/>
  <c r="AB304" i="82"/>
  <c r="AC304" i="82"/>
  <c r="AD304" i="82"/>
  <c r="AE304" i="82"/>
  <c r="AF304" i="82"/>
  <c r="AG304" i="82"/>
  <c r="AH304" i="82"/>
  <c r="AI304" i="82"/>
  <c r="AJ304" i="82"/>
  <c r="AK304" i="82"/>
  <c r="AL304" i="82"/>
  <c r="AM304" i="82"/>
  <c r="AN304" i="82"/>
  <c r="AO304" i="82"/>
  <c r="AP304" i="82"/>
  <c r="AQ304" i="82"/>
  <c r="AR304" i="82"/>
  <c r="AS304" i="82"/>
  <c r="AT304" i="82"/>
  <c r="AU304" i="82"/>
  <c r="AV304" i="82"/>
  <c r="AW304" i="82"/>
  <c r="AX304" i="82"/>
  <c r="AY304" i="82"/>
  <c r="AZ304" i="82"/>
  <c r="BA304" i="82"/>
  <c r="BB304" i="82"/>
  <c r="BC304" i="82"/>
  <c r="BD304" i="82"/>
  <c r="BE304" i="82"/>
  <c r="BF304" i="82"/>
  <c r="BG304" i="82"/>
  <c r="BH304" i="82"/>
  <c r="BI304" i="82"/>
  <c r="BJ304" i="82"/>
  <c r="BK304" i="82"/>
  <c r="BL304" i="82"/>
  <c r="BM304" i="82"/>
  <c r="BN304" i="82"/>
  <c r="BO304" i="82"/>
  <c r="BP304" i="82"/>
  <c r="BQ304" i="82"/>
  <c r="BR304" i="82"/>
  <c r="B305" i="82"/>
  <c r="C305" i="82"/>
  <c r="D305" i="82"/>
  <c r="E305" i="82"/>
  <c r="F305" i="82"/>
  <c r="G305" i="82"/>
  <c r="H305" i="82"/>
  <c r="I305" i="82"/>
  <c r="J305" i="82"/>
  <c r="K305" i="82"/>
  <c r="L305" i="82"/>
  <c r="M305" i="82"/>
  <c r="N305" i="82"/>
  <c r="O305" i="82"/>
  <c r="P305" i="82"/>
  <c r="Q305" i="82"/>
  <c r="R305" i="82"/>
  <c r="S305" i="82"/>
  <c r="T305" i="82"/>
  <c r="U305" i="82"/>
  <c r="V305" i="82"/>
  <c r="W305" i="82"/>
  <c r="X305" i="82"/>
  <c r="Y305" i="82"/>
  <c r="Z305" i="82"/>
  <c r="AA305" i="82"/>
  <c r="AB305" i="82"/>
  <c r="AC305" i="82"/>
  <c r="AD305" i="82"/>
  <c r="AE305" i="82"/>
  <c r="AF305" i="82"/>
  <c r="AG305" i="82"/>
  <c r="AH305" i="82"/>
  <c r="AI305" i="82"/>
  <c r="AJ305" i="82"/>
  <c r="AK305" i="82"/>
  <c r="AL305" i="82"/>
  <c r="AM305" i="82"/>
  <c r="AN305" i="82"/>
  <c r="AO305" i="82"/>
  <c r="AP305" i="82"/>
  <c r="AQ305" i="82"/>
  <c r="AR305" i="82"/>
  <c r="AS305" i="82"/>
  <c r="AT305" i="82"/>
  <c r="AU305" i="82"/>
  <c r="AV305" i="82"/>
  <c r="AW305" i="82"/>
  <c r="AX305" i="82"/>
  <c r="AY305" i="82"/>
  <c r="AZ305" i="82"/>
  <c r="BA305" i="82"/>
  <c r="BB305" i="82"/>
  <c r="BC305" i="82"/>
  <c r="BD305" i="82"/>
  <c r="BE305" i="82"/>
  <c r="BF305" i="82"/>
  <c r="BG305" i="82"/>
  <c r="BH305" i="82"/>
  <c r="BI305" i="82"/>
  <c r="BJ305" i="82"/>
  <c r="BK305" i="82"/>
  <c r="BL305" i="82"/>
  <c r="BM305" i="82"/>
  <c r="BN305" i="82"/>
  <c r="BO305" i="82"/>
  <c r="BP305" i="82"/>
  <c r="BQ305" i="82"/>
  <c r="BR305" i="82"/>
  <c r="B306" i="82"/>
  <c r="C306" i="82"/>
  <c r="D306" i="82"/>
  <c r="E306" i="82"/>
  <c r="F306" i="82"/>
  <c r="G306" i="82"/>
  <c r="H306" i="82"/>
  <c r="I306" i="82"/>
  <c r="J306" i="82"/>
  <c r="K306" i="82"/>
  <c r="L306" i="82"/>
  <c r="M306" i="82"/>
  <c r="N306" i="82"/>
  <c r="O306" i="82"/>
  <c r="P306" i="82"/>
  <c r="Q306" i="82"/>
  <c r="R306" i="82"/>
  <c r="S306" i="82"/>
  <c r="T306" i="82"/>
  <c r="U306" i="82"/>
  <c r="V306" i="82"/>
  <c r="W306" i="82"/>
  <c r="X306" i="82"/>
  <c r="Y306" i="82"/>
  <c r="Z306" i="82"/>
  <c r="AA306" i="82"/>
  <c r="AB306" i="82"/>
  <c r="AC306" i="82"/>
  <c r="AD306" i="82"/>
  <c r="AE306" i="82"/>
  <c r="AF306" i="82"/>
  <c r="AG306" i="82"/>
  <c r="AH306" i="82"/>
  <c r="AI306" i="82"/>
  <c r="AJ306" i="82"/>
  <c r="AK306" i="82"/>
  <c r="AL306" i="82"/>
  <c r="AM306" i="82"/>
  <c r="AN306" i="82"/>
  <c r="AO306" i="82"/>
  <c r="AP306" i="82"/>
  <c r="AQ306" i="82"/>
  <c r="AR306" i="82"/>
  <c r="AS306" i="82"/>
  <c r="AT306" i="82"/>
  <c r="AU306" i="82"/>
  <c r="AV306" i="82"/>
  <c r="AW306" i="82"/>
  <c r="AX306" i="82"/>
  <c r="AY306" i="82"/>
  <c r="AZ306" i="82"/>
  <c r="BA306" i="82"/>
  <c r="BB306" i="82"/>
  <c r="BC306" i="82"/>
  <c r="BD306" i="82"/>
  <c r="BE306" i="82"/>
  <c r="BF306" i="82"/>
  <c r="BG306" i="82"/>
  <c r="BH306" i="82"/>
  <c r="BI306" i="82"/>
  <c r="BJ306" i="82"/>
  <c r="BK306" i="82"/>
  <c r="BL306" i="82"/>
  <c r="BM306" i="82"/>
  <c r="BN306" i="82"/>
  <c r="BO306" i="82"/>
  <c r="BP306" i="82"/>
  <c r="BQ306" i="82"/>
  <c r="BR306" i="82"/>
  <c r="B307" i="82"/>
  <c r="C307" i="82"/>
  <c r="D307" i="82"/>
  <c r="E307" i="82"/>
  <c r="F307" i="82"/>
  <c r="G307" i="82"/>
  <c r="H307" i="82"/>
  <c r="I307" i="82"/>
  <c r="J307" i="82"/>
  <c r="K307" i="82"/>
  <c r="L307" i="82"/>
  <c r="M307" i="82"/>
  <c r="N307" i="82"/>
  <c r="O307" i="82"/>
  <c r="P307" i="82"/>
  <c r="Q307" i="82"/>
  <c r="R307" i="82"/>
  <c r="S307" i="82"/>
  <c r="T307" i="82"/>
  <c r="U307" i="82"/>
  <c r="V307" i="82"/>
  <c r="W307" i="82"/>
  <c r="X307" i="82"/>
  <c r="Y307" i="82"/>
  <c r="Z307" i="82"/>
  <c r="AA307" i="82"/>
  <c r="AB307" i="82"/>
  <c r="AC307" i="82"/>
  <c r="AD307" i="82"/>
  <c r="AE307" i="82"/>
  <c r="AF307" i="82"/>
  <c r="AG307" i="82"/>
  <c r="AH307" i="82"/>
  <c r="AI307" i="82"/>
  <c r="AJ307" i="82"/>
  <c r="AK307" i="82"/>
  <c r="AL307" i="82"/>
  <c r="AM307" i="82"/>
  <c r="AN307" i="82"/>
  <c r="AO307" i="82"/>
  <c r="AP307" i="82"/>
  <c r="AR307" i="82"/>
  <c r="AS307" i="82"/>
  <c r="AT307" i="82"/>
  <c r="AU307" i="82"/>
  <c r="AV307" i="82"/>
  <c r="AW307" i="82"/>
  <c r="AX307" i="82"/>
  <c r="AY307" i="82"/>
  <c r="AZ307" i="82"/>
  <c r="BA307" i="82"/>
  <c r="BB307" i="82"/>
  <c r="BC307" i="82"/>
  <c r="BD307" i="82"/>
  <c r="BE307" i="82"/>
  <c r="BF307" i="82"/>
  <c r="BG307" i="82"/>
  <c r="BH307" i="82"/>
  <c r="BI307" i="82"/>
  <c r="BJ307" i="82"/>
  <c r="BK307" i="82"/>
  <c r="BL307" i="82"/>
  <c r="BM307" i="82"/>
  <c r="BN307" i="82"/>
  <c r="BO307" i="82"/>
  <c r="BP307" i="82"/>
  <c r="BQ307" i="82"/>
  <c r="BR307" i="82"/>
  <c r="B308" i="82"/>
  <c r="C308" i="82"/>
  <c r="D308" i="82"/>
  <c r="E308" i="82"/>
  <c r="F308" i="82"/>
  <c r="G308" i="82"/>
  <c r="H308" i="82"/>
  <c r="I308" i="82"/>
  <c r="J308" i="82"/>
  <c r="K308" i="82"/>
  <c r="L308" i="82"/>
  <c r="M308" i="82"/>
  <c r="N308" i="82"/>
  <c r="O308" i="82"/>
  <c r="P308" i="82"/>
  <c r="Q308" i="82"/>
  <c r="R308" i="82"/>
  <c r="S308" i="82"/>
  <c r="T308" i="82"/>
  <c r="U308" i="82"/>
  <c r="V308" i="82"/>
  <c r="W308" i="82"/>
  <c r="X308" i="82"/>
  <c r="Y308" i="82"/>
  <c r="Z308" i="82"/>
  <c r="AA308" i="82"/>
  <c r="AB308" i="82"/>
  <c r="AC308" i="82"/>
  <c r="AD308" i="82"/>
  <c r="AE308" i="82"/>
  <c r="AF308" i="82"/>
  <c r="AG308" i="82"/>
  <c r="AH308" i="82"/>
  <c r="AI308" i="82"/>
  <c r="AJ308" i="82"/>
  <c r="AK308" i="82"/>
  <c r="AL308" i="82"/>
  <c r="AM308" i="82"/>
  <c r="AN308" i="82"/>
  <c r="AO308" i="82"/>
  <c r="AP308" i="82"/>
  <c r="AQ308" i="82"/>
  <c r="AR308" i="82"/>
  <c r="AS308" i="82"/>
  <c r="AT308" i="82"/>
  <c r="AU308" i="82"/>
  <c r="AV308" i="82"/>
  <c r="AW308" i="82"/>
  <c r="AX308" i="82"/>
  <c r="AY308" i="82"/>
  <c r="AZ308" i="82"/>
  <c r="BA308" i="82"/>
  <c r="BB308" i="82"/>
  <c r="BC308" i="82"/>
  <c r="BD308" i="82"/>
  <c r="BE308" i="82"/>
  <c r="BF308" i="82"/>
  <c r="BG308" i="82"/>
  <c r="BH308" i="82"/>
  <c r="BI308" i="82"/>
  <c r="BJ308" i="82"/>
  <c r="BK308" i="82"/>
  <c r="BL308" i="82"/>
  <c r="BM308" i="82"/>
  <c r="BN308" i="82"/>
  <c r="BO308" i="82"/>
  <c r="BP308" i="82"/>
  <c r="BQ308" i="82"/>
  <c r="BR308" i="82"/>
  <c r="B309" i="82"/>
  <c r="C309" i="82"/>
  <c r="D309" i="82"/>
  <c r="E309" i="82"/>
  <c r="F309" i="82"/>
  <c r="G309" i="82"/>
  <c r="H309" i="82"/>
  <c r="I309" i="82"/>
  <c r="J309" i="82"/>
  <c r="K309" i="82"/>
  <c r="L309" i="82"/>
  <c r="M309" i="82"/>
  <c r="N309" i="82"/>
  <c r="O309" i="82"/>
  <c r="P309" i="82"/>
  <c r="Q309" i="82"/>
  <c r="R309" i="82"/>
  <c r="S309" i="82"/>
  <c r="T309" i="82"/>
  <c r="U309" i="82"/>
  <c r="V309" i="82"/>
  <c r="W309" i="82"/>
  <c r="X309" i="82"/>
  <c r="Y309" i="82"/>
  <c r="Z309" i="82"/>
  <c r="AA309" i="82"/>
  <c r="AB309" i="82"/>
  <c r="AC309" i="82"/>
  <c r="AD309" i="82"/>
  <c r="AE309" i="82"/>
  <c r="AF309" i="82"/>
  <c r="AG309" i="82"/>
  <c r="AH309" i="82"/>
  <c r="AI309" i="82"/>
  <c r="AJ309" i="82"/>
  <c r="AK309" i="82"/>
  <c r="AL309" i="82"/>
  <c r="AM309" i="82"/>
  <c r="AN309" i="82"/>
  <c r="AO309" i="82"/>
  <c r="AP309" i="82"/>
  <c r="AQ309" i="82"/>
  <c r="AR309" i="82"/>
  <c r="AS309" i="82"/>
  <c r="AT309" i="82"/>
  <c r="AU309" i="82"/>
  <c r="AV309" i="82"/>
  <c r="AW309" i="82"/>
  <c r="AX309" i="82"/>
  <c r="AY309" i="82"/>
  <c r="AZ309" i="82"/>
  <c r="BA309" i="82"/>
  <c r="BB309" i="82"/>
  <c r="BC309" i="82"/>
  <c r="BD309" i="82"/>
  <c r="BE309" i="82"/>
  <c r="BF309" i="82"/>
  <c r="BG309" i="82"/>
  <c r="BH309" i="82"/>
  <c r="BI309" i="82"/>
  <c r="BJ309" i="82"/>
  <c r="BK309" i="82"/>
  <c r="BL309" i="82"/>
  <c r="BM309" i="82"/>
  <c r="BN309" i="82"/>
  <c r="BO309" i="82"/>
  <c r="BP309" i="82"/>
  <c r="BQ309" i="82"/>
  <c r="BR309" i="82"/>
  <c r="B310" i="82"/>
  <c r="C310" i="82"/>
  <c r="D310" i="82"/>
  <c r="E310" i="82"/>
  <c r="F310" i="82"/>
  <c r="G310" i="82"/>
  <c r="H310" i="82"/>
  <c r="I310" i="82"/>
  <c r="J310" i="82"/>
  <c r="K310" i="82"/>
  <c r="L310" i="82"/>
  <c r="M310" i="82"/>
  <c r="N310" i="82"/>
  <c r="O310" i="82"/>
  <c r="P310" i="82"/>
  <c r="Q310" i="82"/>
  <c r="R310" i="82"/>
  <c r="S310" i="82"/>
  <c r="T310" i="82"/>
  <c r="U310" i="82"/>
  <c r="V310" i="82"/>
  <c r="W310" i="82"/>
  <c r="X310" i="82"/>
  <c r="Y310" i="82"/>
  <c r="Z310" i="82"/>
  <c r="AA310" i="82"/>
  <c r="AB310" i="82"/>
  <c r="AC310" i="82"/>
  <c r="AD310" i="82"/>
  <c r="AE310" i="82"/>
  <c r="AF310" i="82"/>
  <c r="AG310" i="82"/>
  <c r="AH310" i="82"/>
  <c r="AI310" i="82"/>
  <c r="AJ310" i="82"/>
  <c r="AK310" i="82"/>
  <c r="AL310" i="82"/>
  <c r="AM310" i="82"/>
  <c r="AN310" i="82"/>
  <c r="AO310" i="82"/>
  <c r="AP310" i="82"/>
  <c r="AQ310" i="82"/>
  <c r="AR310" i="82"/>
  <c r="AS310" i="82"/>
  <c r="AT310" i="82"/>
  <c r="AU310" i="82"/>
  <c r="AV310" i="82"/>
  <c r="AW310" i="82"/>
  <c r="AX310" i="82"/>
  <c r="AY310" i="82"/>
  <c r="AZ310" i="82"/>
  <c r="BA310" i="82"/>
  <c r="BB310" i="82"/>
  <c r="BC310" i="82"/>
  <c r="BD310" i="82"/>
  <c r="BE310" i="82"/>
  <c r="BF310" i="82"/>
  <c r="BG310" i="82"/>
  <c r="BH310" i="82"/>
  <c r="BI310" i="82"/>
  <c r="BJ310" i="82"/>
  <c r="BK310" i="82"/>
  <c r="BL310" i="82"/>
  <c r="BM310" i="82"/>
  <c r="BN310" i="82"/>
  <c r="BO310" i="82"/>
  <c r="BP310" i="82"/>
  <c r="BQ310" i="82"/>
  <c r="BR310" i="82"/>
  <c r="B311" i="82"/>
  <c r="C311" i="82"/>
  <c r="D311" i="82"/>
  <c r="E311" i="82"/>
  <c r="F311" i="82"/>
  <c r="G311" i="82"/>
  <c r="H311" i="82"/>
  <c r="I311" i="82"/>
  <c r="J311" i="82"/>
  <c r="K311" i="82"/>
  <c r="L311" i="82"/>
  <c r="M311" i="82"/>
  <c r="N311" i="82"/>
  <c r="O311" i="82"/>
  <c r="P311" i="82"/>
  <c r="Q311" i="82"/>
  <c r="R311" i="82"/>
  <c r="S311" i="82"/>
  <c r="T311" i="82"/>
  <c r="U311" i="82"/>
  <c r="V311" i="82"/>
  <c r="W311" i="82"/>
  <c r="X311" i="82"/>
  <c r="Y311" i="82"/>
  <c r="Z311" i="82"/>
  <c r="AA311" i="82"/>
  <c r="AB311" i="82"/>
  <c r="AC311" i="82"/>
  <c r="AD311" i="82"/>
  <c r="AE311" i="82"/>
  <c r="AF311" i="82"/>
  <c r="AG311" i="82"/>
  <c r="AH311" i="82"/>
  <c r="AI311" i="82"/>
  <c r="AJ311" i="82"/>
  <c r="AK311" i="82"/>
  <c r="AL311" i="82"/>
  <c r="AM311" i="82"/>
  <c r="AN311" i="82"/>
  <c r="AO311" i="82"/>
  <c r="AP311" i="82"/>
  <c r="AQ311" i="82"/>
  <c r="AR311" i="82"/>
  <c r="AS311" i="82"/>
  <c r="AT311" i="82"/>
  <c r="AU311" i="82"/>
  <c r="AV311" i="82"/>
  <c r="AW311" i="82"/>
  <c r="AX311" i="82"/>
  <c r="AY311" i="82"/>
  <c r="AZ311" i="82"/>
  <c r="BA311" i="82"/>
  <c r="BB311" i="82"/>
  <c r="BC311" i="82"/>
  <c r="BD311" i="82"/>
  <c r="BE311" i="82"/>
  <c r="BF311" i="82"/>
  <c r="BG311" i="82"/>
  <c r="BH311" i="82"/>
  <c r="BI311" i="82"/>
  <c r="BJ311" i="82"/>
  <c r="BK311" i="82"/>
  <c r="BL311" i="82"/>
  <c r="BM311" i="82"/>
  <c r="BN311" i="82"/>
  <c r="BO311" i="82"/>
  <c r="BP311" i="82"/>
  <c r="BQ311" i="82"/>
  <c r="BR311" i="82"/>
  <c r="B312" i="82"/>
  <c r="C312" i="82"/>
  <c r="D312" i="82"/>
  <c r="E312" i="82"/>
  <c r="F312" i="82"/>
  <c r="G312" i="82"/>
  <c r="H312" i="82"/>
  <c r="I312" i="82"/>
  <c r="J312" i="82"/>
  <c r="K312" i="82"/>
  <c r="L312" i="82"/>
  <c r="M312" i="82"/>
  <c r="N312" i="82"/>
  <c r="O312" i="82"/>
  <c r="P312" i="82"/>
  <c r="Q312" i="82"/>
  <c r="R312" i="82"/>
  <c r="S312" i="82"/>
  <c r="T312" i="82"/>
  <c r="U312" i="82"/>
  <c r="V312" i="82"/>
  <c r="W312" i="82"/>
  <c r="X312" i="82"/>
  <c r="Y312" i="82"/>
  <c r="Z312" i="82"/>
  <c r="AA312" i="82"/>
  <c r="AB312" i="82"/>
  <c r="AC312" i="82"/>
  <c r="AD312" i="82"/>
  <c r="AE312" i="82"/>
  <c r="AF312" i="82"/>
  <c r="AG312" i="82"/>
  <c r="AH312" i="82"/>
  <c r="AI312" i="82"/>
  <c r="AJ312" i="82"/>
  <c r="AK312" i="82"/>
  <c r="AL312" i="82"/>
  <c r="AM312" i="82"/>
  <c r="AN312" i="82"/>
  <c r="AO312" i="82"/>
  <c r="AP312" i="82"/>
  <c r="AQ312" i="82"/>
  <c r="AR312" i="82"/>
  <c r="AS312" i="82"/>
  <c r="AT312" i="82"/>
  <c r="AU312" i="82"/>
  <c r="AV312" i="82"/>
  <c r="AW312" i="82"/>
  <c r="AX312" i="82"/>
  <c r="AY312" i="82"/>
  <c r="AZ312" i="82"/>
  <c r="BA312" i="82"/>
  <c r="BB312" i="82"/>
  <c r="BC312" i="82"/>
  <c r="BD312" i="82"/>
  <c r="BE312" i="82"/>
  <c r="BF312" i="82"/>
  <c r="BG312" i="82"/>
  <c r="BH312" i="82"/>
  <c r="BI312" i="82"/>
  <c r="BJ312" i="82"/>
  <c r="BK312" i="82"/>
  <c r="BL312" i="82"/>
  <c r="BM312" i="82"/>
  <c r="BN312" i="82"/>
  <c r="BO312" i="82"/>
  <c r="BP312" i="82"/>
  <c r="BQ312" i="82"/>
  <c r="BR312" i="82"/>
  <c r="B313" i="82"/>
  <c r="C313" i="82"/>
  <c r="D313" i="82"/>
  <c r="E313" i="82"/>
  <c r="F313" i="82"/>
  <c r="G313" i="82"/>
  <c r="H313" i="82"/>
  <c r="I313" i="82"/>
  <c r="J313" i="82"/>
  <c r="K313" i="82"/>
  <c r="L313" i="82"/>
  <c r="M313" i="82"/>
  <c r="N313" i="82"/>
  <c r="O313" i="82"/>
  <c r="P313" i="82"/>
  <c r="Q313" i="82"/>
  <c r="R313" i="82"/>
  <c r="S313" i="82"/>
  <c r="T313" i="82"/>
  <c r="U313" i="82"/>
  <c r="V313" i="82"/>
  <c r="W313" i="82"/>
  <c r="X313" i="82"/>
  <c r="Y313" i="82"/>
  <c r="Z313" i="82"/>
  <c r="AA313" i="82"/>
  <c r="AB313" i="82"/>
  <c r="AC313" i="82"/>
  <c r="AD313" i="82"/>
  <c r="AE313" i="82"/>
  <c r="AF313" i="82"/>
  <c r="AG313" i="82"/>
  <c r="AH313" i="82"/>
  <c r="AI313" i="82"/>
  <c r="AJ313" i="82"/>
  <c r="AK313" i="82"/>
  <c r="AL313" i="82"/>
  <c r="AM313" i="82"/>
  <c r="AN313" i="82"/>
  <c r="AO313" i="82"/>
  <c r="AP313" i="82"/>
  <c r="AQ313" i="82"/>
  <c r="AR313" i="82"/>
  <c r="AS313" i="82"/>
  <c r="AT313" i="82"/>
  <c r="AU313" i="82"/>
  <c r="AV313" i="82"/>
  <c r="AW313" i="82"/>
  <c r="AX313" i="82"/>
  <c r="AY313" i="82"/>
  <c r="AZ313" i="82"/>
  <c r="BA313" i="82"/>
  <c r="BB313" i="82"/>
  <c r="BC313" i="82"/>
  <c r="BD313" i="82"/>
  <c r="BE313" i="82"/>
  <c r="BF313" i="82"/>
  <c r="BG313" i="82"/>
  <c r="BH313" i="82"/>
  <c r="BI313" i="82"/>
  <c r="BJ313" i="82"/>
  <c r="BK313" i="82"/>
  <c r="BL313" i="82"/>
  <c r="BM313" i="82"/>
  <c r="BN313" i="82"/>
  <c r="BO313" i="82"/>
  <c r="BP313" i="82"/>
  <c r="BQ313" i="82"/>
  <c r="BR313" i="82"/>
  <c r="B314" i="82"/>
  <c r="C314" i="82"/>
  <c r="D314" i="82"/>
  <c r="E314" i="82"/>
  <c r="F314" i="82"/>
  <c r="G314" i="82"/>
  <c r="H314" i="82"/>
  <c r="I314" i="82"/>
  <c r="J314" i="82"/>
  <c r="K314" i="82"/>
  <c r="L314" i="82"/>
  <c r="M314" i="82"/>
  <c r="N314" i="82"/>
  <c r="O314" i="82"/>
  <c r="P314" i="82"/>
  <c r="Q314" i="82"/>
  <c r="R314" i="82"/>
  <c r="S314" i="82"/>
  <c r="T314" i="82"/>
  <c r="U314" i="82"/>
  <c r="V314" i="82"/>
  <c r="W314" i="82"/>
  <c r="X314" i="82"/>
  <c r="Y314" i="82"/>
  <c r="Z314" i="82"/>
  <c r="AA314" i="82"/>
  <c r="AB314" i="82"/>
  <c r="AC314" i="82"/>
  <c r="AD314" i="82"/>
  <c r="AE314" i="82"/>
  <c r="AF314" i="82"/>
  <c r="AG314" i="82"/>
  <c r="AH314" i="82"/>
  <c r="AI314" i="82"/>
  <c r="AJ314" i="82"/>
  <c r="AK314" i="82"/>
  <c r="AL314" i="82"/>
  <c r="AM314" i="82"/>
  <c r="AN314" i="82"/>
  <c r="AO314" i="82"/>
  <c r="AP314" i="82"/>
  <c r="AQ314" i="82"/>
  <c r="AR314" i="82"/>
  <c r="AS314" i="82"/>
  <c r="AT314" i="82"/>
  <c r="AU314" i="82"/>
  <c r="AV314" i="82"/>
  <c r="AW314" i="82"/>
  <c r="AX314" i="82"/>
  <c r="AY314" i="82"/>
  <c r="AZ314" i="82"/>
  <c r="BA314" i="82"/>
  <c r="BB314" i="82"/>
  <c r="BC314" i="82"/>
  <c r="BD314" i="82"/>
  <c r="BE314" i="82"/>
  <c r="BF314" i="82"/>
  <c r="BG314" i="82"/>
  <c r="BH314" i="82"/>
  <c r="BI314" i="82"/>
  <c r="BJ314" i="82"/>
  <c r="BK314" i="82"/>
  <c r="BL314" i="82"/>
  <c r="BM314" i="82"/>
  <c r="BN314" i="82"/>
  <c r="BO314" i="82"/>
  <c r="BP314" i="82"/>
  <c r="BQ314" i="82"/>
  <c r="BR314" i="82"/>
  <c r="B315" i="82"/>
  <c r="C315" i="82"/>
  <c r="D315" i="82"/>
  <c r="E315" i="82"/>
  <c r="F315" i="82"/>
  <c r="G315" i="82"/>
  <c r="H315" i="82"/>
  <c r="I315" i="82"/>
  <c r="J315" i="82"/>
  <c r="K315" i="82"/>
  <c r="L315" i="82"/>
  <c r="M315" i="82"/>
  <c r="N315" i="82"/>
  <c r="O315" i="82"/>
  <c r="P315" i="82"/>
  <c r="Q315" i="82"/>
  <c r="R315" i="82"/>
  <c r="S315" i="82"/>
  <c r="T315" i="82"/>
  <c r="U315" i="82"/>
  <c r="V315" i="82"/>
  <c r="W315" i="82"/>
  <c r="X315" i="82"/>
  <c r="Y315" i="82"/>
  <c r="Z315" i="82"/>
  <c r="AA315" i="82"/>
  <c r="AB315" i="82"/>
  <c r="AC315" i="82"/>
  <c r="AD315" i="82"/>
  <c r="AE315" i="82"/>
  <c r="AF315" i="82"/>
  <c r="AG315" i="82"/>
  <c r="AH315" i="82"/>
  <c r="AI315" i="82"/>
  <c r="AJ315" i="82"/>
  <c r="AK315" i="82"/>
  <c r="AL315" i="82"/>
  <c r="AM315" i="82"/>
  <c r="AN315" i="82"/>
  <c r="AO315" i="82"/>
  <c r="AP315" i="82"/>
  <c r="AQ315" i="82"/>
  <c r="AR315" i="82"/>
  <c r="AS315" i="82"/>
  <c r="AT315" i="82"/>
  <c r="AU315" i="82"/>
  <c r="AV315" i="82"/>
  <c r="AW315" i="82"/>
  <c r="AX315" i="82"/>
  <c r="AY315" i="82"/>
  <c r="AZ315" i="82"/>
  <c r="BA315" i="82"/>
  <c r="BB315" i="82"/>
  <c r="BC315" i="82"/>
  <c r="BD315" i="82"/>
  <c r="BE315" i="82"/>
  <c r="BF315" i="82"/>
  <c r="BG315" i="82"/>
  <c r="BH315" i="82"/>
  <c r="BI315" i="82"/>
  <c r="BJ315" i="82"/>
  <c r="BK315" i="82"/>
  <c r="BL315" i="82"/>
  <c r="BM315" i="82"/>
  <c r="BN315" i="82"/>
  <c r="BO315" i="82"/>
  <c r="BP315" i="82"/>
  <c r="BQ315" i="82"/>
  <c r="BR315" i="82"/>
  <c r="B316" i="82"/>
  <c r="C316" i="82"/>
  <c r="D316" i="82"/>
  <c r="E316" i="82"/>
  <c r="F316" i="82"/>
  <c r="G316" i="82"/>
  <c r="H316" i="82"/>
  <c r="I316" i="82"/>
  <c r="J316" i="82"/>
  <c r="K316" i="82"/>
  <c r="L316" i="82"/>
  <c r="M316" i="82"/>
  <c r="N316" i="82"/>
  <c r="O316" i="82"/>
  <c r="P316" i="82"/>
  <c r="Q316" i="82"/>
  <c r="R316" i="82"/>
  <c r="S316" i="82"/>
  <c r="T316" i="82"/>
  <c r="U316" i="82"/>
  <c r="V316" i="82"/>
  <c r="W316" i="82"/>
  <c r="X316" i="82"/>
  <c r="Y316" i="82"/>
  <c r="Z316" i="82"/>
  <c r="AA316" i="82"/>
  <c r="AB316" i="82"/>
  <c r="AC316" i="82"/>
  <c r="AD316" i="82"/>
  <c r="AE316" i="82"/>
  <c r="AF316" i="82"/>
  <c r="AG316" i="82"/>
  <c r="AH316" i="82"/>
  <c r="AI316" i="82"/>
  <c r="AJ316" i="82"/>
  <c r="AK316" i="82"/>
  <c r="AL316" i="82"/>
  <c r="AM316" i="82"/>
  <c r="AN316" i="82"/>
  <c r="AO316" i="82"/>
  <c r="AP316" i="82"/>
  <c r="AQ316" i="82"/>
  <c r="AR316" i="82"/>
  <c r="AS316" i="82"/>
  <c r="AT316" i="82"/>
  <c r="AU316" i="82"/>
  <c r="AV316" i="82"/>
  <c r="AW316" i="82"/>
  <c r="AX316" i="82"/>
  <c r="AY316" i="82"/>
  <c r="AZ316" i="82"/>
  <c r="BA316" i="82"/>
  <c r="BB316" i="82"/>
  <c r="BC316" i="82"/>
  <c r="BD316" i="82"/>
  <c r="BE316" i="82"/>
  <c r="BF316" i="82"/>
  <c r="BG316" i="82"/>
  <c r="BH316" i="82"/>
  <c r="BI316" i="82"/>
  <c r="BJ316" i="82"/>
  <c r="BK316" i="82"/>
  <c r="BL316" i="82"/>
  <c r="BM316" i="82"/>
  <c r="BN316" i="82"/>
  <c r="BO316" i="82"/>
  <c r="BP316" i="82"/>
  <c r="BQ316" i="82"/>
  <c r="BR316" i="82"/>
  <c r="B317" i="82"/>
  <c r="C317" i="82"/>
  <c r="D317" i="82"/>
  <c r="E317" i="82"/>
  <c r="F317" i="82"/>
  <c r="G317" i="82"/>
  <c r="H317" i="82"/>
  <c r="I317" i="82"/>
  <c r="J317" i="82"/>
  <c r="K317" i="82"/>
  <c r="L317" i="82"/>
  <c r="M317" i="82"/>
  <c r="N317" i="82"/>
  <c r="O317" i="82"/>
  <c r="P317" i="82"/>
  <c r="Q317" i="82"/>
  <c r="R317" i="82"/>
  <c r="S317" i="82"/>
  <c r="T317" i="82"/>
  <c r="U317" i="82"/>
  <c r="V317" i="82"/>
  <c r="W317" i="82"/>
  <c r="X317" i="82"/>
  <c r="Y317" i="82"/>
  <c r="Z317" i="82"/>
  <c r="AA317" i="82"/>
  <c r="AB317" i="82"/>
  <c r="AC317" i="82"/>
  <c r="AD317" i="82"/>
  <c r="AE317" i="82"/>
  <c r="AF317" i="82"/>
  <c r="AG317" i="82"/>
  <c r="AH317" i="82"/>
  <c r="AI317" i="82"/>
  <c r="AJ317" i="82"/>
  <c r="AK317" i="82"/>
  <c r="AL317" i="82"/>
  <c r="AM317" i="82"/>
  <c r="AN317" i="82"/>
  <c r="AO317" i="82"/>
  <c r="AP317" i="82"/>
  <c r="AQ317" i="82"/>
  <c r="AR317" i="82"/>
  <c r="AS317" i="82"/>
  <c r="AT317" i="82"/>
  <c r="AU317" i="82"/>
  <c r="AV317" i="82"/>
  <c r="AW317" i="82"/>
  <c r="AX317" i="82"/>
  <c r="AY317" i="82"/>
  <c r="AZ317" i="82"/>
  <c r="BA317" i="82"/>
  <c r="BB317" i="82"/>
  <c r="BC317" i="82"/>
  <c r="BD317" i="82"/>
  <c r="BE317" i="82"/>
  <c r="BF317" i="82"/>
  <c r="BG317" i="82"/>
  <c r="BH317" i="82"/>
  <c r="BI317" i="82"/>
  <c r="BJ317" i="82"/>
  <c r="BK317" i="82"/>
  <c r="BL317" i="82"/>
  <c r="BM317" i="82"/>
  <c r="BN317" i="82"/>
  <c r="BO317" i="82"/>
  <c r="BP317" i="82"/>
  <c r="BQ317" i="82"/>
  <c r="BR317" i="82"/>
  <c r="B318" i="82"/>
  <c r="C318" i="82"/>
  <c r="D318" i="82"/>
  <c r="E318" i="82"/>
  <c r="F318" i="82"/>
  <c r="G318" i="82"/>
  <c r="H318" i="82"/>
  <c r="I318" i="82"/>
  <c r="J318" i="82"/>
  <c r="K318" i="82"/>
  <c r="L318" i="82"/>
  <c r="M318" i="82"/>
  <c r="N318" i="82"/>
  <c r="O318" i="82"/>
  <c r="P318" i="82"/>
  <c r="Q318" i="82"/>
  <c r="R318" i="82"/>
  <c r="S318" i="82"/>
  <c r="T318" i="82"/>
  <c r="U318" i="82"/>
  <c r="V318" i="82"/>
  <c r="W318" i="82"/>
  <c r="X318" i="82"/>
  <c r="Y318" i="82"/>
  <c r="Z318" i="82"/>
  <c r="AA318" i="82"/>
  <c r="AB318" i="82"/>
  <c r="AC318" i="82"/>
  <c r="AD318" i="82"/>
  <c r="AE318" i="82"/>
  <c r="AF318" i="82"/>
  <c r="AG318" i="82"/>
  <c r="AH318" i="82"/>
  <c r="AI318" i="82"/>
  <c r="AJ318" i="82"/>
  <c r="AK318" i="82"/>
  <c r="AL318" i="82"/>
  <c r="AM318" i="82"/>
  <c r="AN318" i="82"/>
  <c r="AO318" i="82"/>
  <c r="AP318" i="82"/>
  <c r="AQ318" i="82"/>
  <c r="AR318" i="82"/>
  <c r="AS318" i="82"/>
  <c r="AT318" i="82"/>
  <c r="AU318" i="82"/>
  <c r="AV318" i="82"/>
  <c r="AW318" i="82"/>
  <c r="AX318" i="82"/>
  <c r="AY318" i="82"/>
  <c r="AZ318" i="82"/>
  <c r="BA318" i="82"/>
  <c r="BB318" i="82"/>
  <c r="BC318" i="82"/>
  <c r="BD318" i="82"/>
  <c r="BE318" i="82"/>
  <c r="BF318" i="82"/>
  <c r="BG318" i="82"/>
  <c r="BH318" i="82"/>
  <c r="BI318" i="82"/>
  <c r="BJ318" i="82"/>
  <c r="BK318" i="82"/>
  <c r="BL318" i="82"/>
  <c r="BM318" i="82"/>
  <c r="BN318" i="82"/>
  <c r="BO318" i="82"/>
  <c r="BP318" i="82"/>
  <c r="BQ318" i="82"/>
  <c r="BR318" i="82"/>
  <c r="B319" i="82"/>
  <c r="C319" i="82"/>
  <c r="D319" i="82"/>
  <c r="E319" i="82"/>
  <c r="F319" i="82"/>
  <c r="G319" i="82"/>
  <c r="H319" i="82"/>
  <c r="I319" i="82"/>
  <c r="J319" i="82"/>
  <c r="K319" i="82"/>
  <c r="L319" i="82"/>
  <c r="M319" i="82"/>
  <c r="N319" i="82"/>
  <c r="O319" i="82"/>
  <c r="P319" i="82"/>
  <c r="Q319" i="82"/>
  <c r="R319" i="82"/>
  <c r="S319" i="82"/>
  <c r="T319" i="82"/>
  <c r="U319" i="82"/>
  <c r="V319" i="82"/>
  <c r="W319" i="82"/>
  <c r="X319" i="82"/>
  <c r="Y319" i="82"/>
  <c r="Z319" i="82"/>
  <c r="AA319" i="82"/>
  <c r="AB319" i="82"/>
  <c r="AC319" i="82"/>
  <c r="AD319" i="82"/>
  <c r="AE319" i="82"/>
  <c r="AF319" i="82"/>
  <c r="AG319" i="82"/>
  <c r="AH319" i="82"/>
  <c r="AI319" i="82"/>
  <c r="AJ319" i="82"/>
  <c r="AK319" i="82"/>
  <c r="AL319" i="82"/>
  <c r="AM319" i="82"/>
  <c r="AN319" i="82"/>
  <c r="AO319" i="82"/>
  <c r="AP319" i="82"/>
  <c r="AQ319" i="82"/>
  <c r="AR319" i="82"/>
  <c r="AS319" i="82"/>
  <c r="AT319" i="82"/>
  <c r="AU319" i="82"/>
  <c r="AV319" i="82"/>
  <c r="AW319" i="82"/>
  <c r="AX319" i="82"/>
  <c r="AY319" i="82"/>
  <c r="AZ319" i="82"/>
  <c r="BA319" i="82"/>
  <c r="BB319" i="82"/>
  <c r="BC319" i="82"/>
  <c r="BD319" i="82"/>
  <c r="BE319" i="82"/>
  <c r="BF319" i="82"/>
  <c r="BG319" i="82"/>
  <c r="BH319" i="82"/>
  <c r="BI319" i="82"/>
  <c r="BJ319" i="82"/>
  <c r="BK319" i="82"/>
  <c r="BL319" i="82"/>
  <c r="BM319" i="82"/>
  <c r="BN319" i="82"/>
  <c r="BO319" i="82"/>
  <c r="BP319" i="82"/>
  <c r="BQ319" i="82"/>
  <c r="BR319" i="82"/>
  <c r="B320" i="82"/>
  <c r="C320" i="82"/>
  <c r="D320" i="82"/>
  <c r="E320" i="82"/>
  <c r="F320" i="82"/>
  <c r="G320" i="82"/>
  <c r="H320" i="82"/>
  <c r="I320" i="82"/>
  <c r="J320" i="82"/>
  <c r="K320" i="82"/>
  <c r="L320" i="82"/>
  <c r="M320" i="82"/>
  <c r="N320" i="82"/>
  <c r="O320" i="82"/>
  <c r="P320" i="82"/>
  <c r="Q320" i="82"/>
  <c r="R320" i="82"/>
  <c r="S320" i="82"/>
  <c r="T320" i="82"/>
  <c r="U320" i="82"/>
  <c r="V320" i="82"/>
  <c r="W320" i="82"/>
  <c r="X320" i="82"/>
  <c r="Y320" i="82"/>
  <c r="Z320" i="82"/>
  <c r="AA320" i="82"/>
  <c r="AB320" i="82"/>
  <c r="AC320" i="82"/>
  <c r="AD320" i="82"/>
  <c r="AE320" i="82"/>
  <c r="AF320" i="82"/>
  <c r="AG320" i="82"/>
  <c r="AH320" i="82"/>
  <c r="AI320" i="82"/>
  <c r="AJ320" i="82"/>
  <c r="AK320" i="82"/>
  <c r="AL320" i="82"/>
  <c r="AM320" i="82"/>
  <c r="AN320" i="82"/>
  <c r="AO320" i="82"/>
  <c r="AP320" i="82"/>
  <c r="AQ320" i="82"/>
  <c r="AR320" i="82"/>
  <c r="AS320" i="82"/>
  <c r="AT320" i="82"/>
  <c r="AU320" i="82"/>
  <c r="AV320" i="82"/>
  <c r="AW320" i="82"/>
  <c r="AX320" i="82"/>
  <c r="AY320" i="82"/>
  <c r="AZ320" i="82"/>
  <c r="BA320" i="82"/>
  <c r="BB320" i="82"/>
  <c r="BC320" i="82"/>
  <c r="BD320" i="82"/>
  <c r="BE320" i="82"/>
  <c r="BF320" i="82"/>
  <c r="BG320" i="82"/>
  <c r="BH320" i="82"/>
  <c r="BI320" i="82"/>
  <c r="BJ320" i="82"/>
  <c r="BK320" i="82"/>
  <c r="BL320" i="82"/>
  <c r="BM320" i="82"/>
  <c r="BN320" i="82"/>
  <c r="BO320" i="82"/>
  <c r="BP320" i="82"/>
  <c r="BQ320" i="82"/>
  <c r="BR320" i="82"/>
  <c r="B321" i="82"/>
  <c r="C321" i="82"/>
  <c r="D321" i="82"/>
  <c r="E321" i="82"/>
  <c r="F321" i="82"/>
  <c r="G321" i="82"/>
  <c r="H321" i="82"/>
  <c r="I321" i="82"/>
  <c r="J321" i="82"/>
  <c r="K321" i="82"/>
  <c r="L321" i="82"/>
  <c r="M321" i="82"/>
  <c r="N321" i="82"/>
  <c r="O321" i="82"/>
  <c r="P321" i="82"/>
  <c r="Q321" i="82"/>
  <c r="R321" i="82"/>
  <c r="S321" i="82"/>
  <c r="T321" i="82"/>
  <c r="U321" i="82"/>
  <c r="V321" i="82"/>
  <c r="W321" i="82"/>
  <c r="X321" i="82"/>
  <c r="Y321" i="82"/>
  <c r="Z321" i="82"/>
  <c r="AA321" i="82"/>
  <c r="AB321" i="82"/>
  <c r="AC321" i="82"/>
  <c r="AD321" i="82"/>
  <c r="AE321" i="82"/>
  <c r="AF321" i="82"/>
  <c r="AG321" i="82"/>
  <c r="AH321" i="82"/>
  <c r="AI321" i="82"/>
  <c r="AJ321" i="82"/>
  <c r="AK321" i="82"/>
  <c r="AL321" i="82"/>
  <c r="AM321" i="82"/>
  <c r="AN321" i="82"/>
  <c r="AO321" i="82"/>
  <c r="AP321" i="82"/>
  <c r="AQ321" i="82"/>
  <c r="AR321" i="82"/>
  <c r="AS321" i="82"/>
  <c r="AT321" i="82"/>
  <c r="AU321" i="82"/>
  <c r="AV321" i="82"/>
  <c r="AW321" i="82"/>
  <c r="AX321" i="82"/>
  <c r="AY321" i="82"/>
  <c r="AZ321" i="82"/>
  <c r="BA321" i="82"/>
  <c r="BB321" i="82"/>
  <c r="BC321" i="82"/>
  <c r="BD321" i="82"/>
  <c r="BE321" i="82"/>
  <c r="BF321" i="82"/>
  <c r="BG321" i="82"/>
  <c r="BH321" i="82"/>
  <c r="BI321" i="82"/>
  <c r="BJ321" i="82"/>
  <c r="BK321" i="82"/>
  <c r="BL321" i="82"/>
  <c r="BM321" i="82"/>
  <c r="BN321" i="82"/>
  <c r="BO321" i="82"/>
  <c r="BP321" i="82"/>
  <c r="BQ321" i="82"/>
  <c r="BR321" i="82"/>
  <c r="B322" i="82"/>
  <c r="C322" i="82"/>
  <c r="D322" i="82"/>
  <c r="E322" i="82"/>
  <c r="F322" i="82"/>
  <c r="G322" i="82"/>
  <c r="H322" i="82"/>
  <c r="I322" i="82"/>
  <c r="J322" i="82"/>
  <c r="K322" i="82"/>
  <c r="L322" i="82"/>
  <c r="M322" i="82"/>
  <c r="N322" i="82"/>
  <c r="O322" i="82"/>
  <c r="P322" i="82"/>
  <c r="Q322" i="82"/>
  <c r="R322" i="82"/>
  <c r="S322" i="82"/>
  <c r="T322" i="82"/>
  <c r="U322" i="82"/>
  <c r="V322" i="82"/>
  <c r="W322" i="82"/>
  <c r="X322" i="82"/>
  <c r="Y322" i="82"/>
  <c r="Z322" i="82"/>
  <c r="AA322" i="82"/>
  <c r="AB322" i="82"/>
  <c r="AC322" i="82"/>
  <c r="AD322" i="82"/>
  <c r="AE322" i="82"/>
  <c r="AF322" i="82"/>
  <c r="AG322" i="82"/>
  <c r="AH322" i="82"/>
  <c r="AI322" i="82"/>
  <c r="AJ322" i="82"/>
  <c r="AK322" i="82"/>
  <c r="AL322" i="82"/>
  <c r="AM322" i="82"/>
  <c r="AN322" i="82"/>
  <c r="AO322" i="82"/>
  <c r="AP322" i="82"/>
  <c r="AQ322" i="82"/>
  <c r="AR322" i="82"/>
  <c r="AS322" i="82"/>
  <c r="AT322" i="82"/>
  <c r="AU322" i="82"/>
  <c r="AV322" i="82"/>
  <c r="AW322" i="82"/>
  <c r="AX322" i="82"/>
  <c r="AY322" i="82"/>
  <c r="AZ322" i="82"/>
  <c r="BA322" i="82"/>
  <c r="BB322" i="82"/>
  <c r="BC322" i="82"/>
  <c r="BD322" i="82"/>
  <c r="BE322" i="82"/>
  <c r="BF322" i="82"/>
  <c r="BG322" i="82"/>
  <c r="BH322" i="82"/>
  <c r="BI322" i="82"/>
  <c r="BJ322" i="82"/>
  <c r="BK322" i="82"/>
  <c r="BL322" i="82"/>
  <c r="BM322" i="82"/>
  <c r="BN322" i="82"/>
  <c r="BO322" i="82"/>
  <c r="BP322" i="82"/>
  <c r="BQ322" i="82"/>
  <c r="BR322" i="82"/>
  <c r="B323" i="82"/>
  <c r="C323" i="82"/>
  <c r="D323" i="82"/>
  <c r="E323" i="82"/>
  <c r="F323" i="82"/>
  <c r="G323" i="82"/>
  <c r="H323" i="82"/>
  <c r="I323" i="82"/>
  <c r="J323" i="82"/>
  <c r="K323" i="82"/>
  <c r="L323" i="82"/>
  <c r="M323" i="82"/>
  <c r="N323" i="82"/>
  <c r="O323" i="82"/>
  <c r="P323" i="82"/>
  <c r="Q323" i="82"/>
  <c r="R323" i="82"/>
  <c r="S323" i="82"/>
  <c r="T323" i="82"/>
  <c r="U323" i="82"/>
  <c r="V323" i="82"/>
  <c r="W323" i="82"/>
  <c r="X323" i="82"/>
  <c r="Y323" i="82"/>
  <c r="Z323" i="82"/>
  <c r="AA323" i="82"/>
  <c r="AB323" i="82"/>
  <c r="AC323" i="82"/>
  <c r="AD323" i="82"/>
  <c r="AE323" i="82"/>
  <c r="AF323" i="82"/>
  <c r="AG323" i="82"/>
  <c r="AH323" i="82"/>
  <c r="AI323" i="82"/>
  <c r="AJ323" i="82"/>
  <c r="AK323" i="82"/>
  <c r="AL323" i="82"/>
  <c r="AM323" i="82"/>
  <c r="AN323" i="82"/>
  <c r="AO323" i="82"/>
  <c r="AP323" i="82"/>
  <c r="AQ323" i="82"/>
  <c r="AR323" i="82"/>
  <c r="AS323" i="82"/>
  <c r="AT323" i="82"/>
  <c r="AU323" i="82"/>
  <c r="AV323" i="82"/>
  <c r="AW323" i="82"/>
  <c r="AX323" i="82"/>
  <c r="AY323" i="82"/>
  <c r="AZ323" i="82"/>
  <c r="BA323" i="82"/>
  <c r="BB323" i="82"/>
  <c r="BC323" i="82"/>
  <c r="BD323" i="82"/>
  <c r="BE323" i="82"/>
  <c r="BF323" i="82"/>
  <c r="BG323" i="82"/>
  <c r="BH323" i="82"/>
  <c r="BI323" i="82"/>
  <c r="BJ323" i="82"/>
  <c r="BK323" i="82"/>
  <c r="BL323" i="82"/>
  <c r="BM323" i="82"/>
  <c r="BN323" i="82"/>
  <c r="BO323" i="82"/>
  <c r="BP323" i="82"/>
  <c r="BQ323" i="82"/>
  <c r="BR323" i="82"/>
  <c r="B325" i="82"/>
  <c r="C325" i="82"/>
  <c r="D325" i="82"/>
  <c r="E325" i="82"/>
  <c r="F325" i="82"/>
  <c r="G325" i="82"/>
  <c r="H325" i="82"/>
  <c r="I325" i="82"/>
  <c r="J325" i="82"/>
  <c r="K325" i="82"/>
  <c r="L325" i="82"/>
  <c r="M325" i="82"/>
  <c r="N325" i="82"/>
  <c r="O325" i="82"/>
  <c r="P325" i="82"/>
  <c r="Q325" i="82"/>
  <c r="R325" i="82"/>
  <c r="S325" i="82"/>
  <c r="T325" i="82"/>
  <c r="U325" i="82"/>
  <c r="V325" i="82"/>
  <c r="W325" i="82"/>
  <c r="X325" i="82"/>
  <c r="Y325" i="82"/>
  <c r="Z325" i="82"/>
  <c r="AA325" i="82"/>
  <c r="AB325" i="82"/>
  <c r="AC325" i="82"/>
  <c r="AD325" i="82"/>
  <c r="AE325" i="82"/>
  <c r="AF325" i="82"/>
  <c r="AG325" i="82"/>
  <c r="AH325" i="82"/>
  <c r="AI325" i="82"/>
  <c r="AJ325" i="82"/>
  <c r="AK325" i="82"/>
  <c r="AL325" i="82"/>
  <c r="AM325" i="82"/>
  <c r="AN325" i="82"/>
  <c r="AO325" i="82"/>
  <c r="AP325" i="82"/>
  <c r="AQ325" i="82"/>
  <c r="AR325" i="82"/>
  <c r="AS325" i="82"/>
  <c r="AT325" i="82"/>
  <c r="AU325" i="82"/>
  <c r="AV325" i="82"/>
  <c r="AW325" i="82"/>
  <c r="AX325" i="82"/>
  <c r="AY325" i="82"/>
  <c r="AZ325" i="82"/>
  <c r="BA325" i="82"/>
  <c r="BB325" i="82"/>
  <c r="BC325" i="82"/>
  <c r="BD325" i="82"/>
  <c r="BE325" i="82"/>
  <c r="BF325" i="82"/>
  <c r="BG325" i="82"/>
  <c r="BH325" i="82"/>
  <c r="BI325" i="82"/>
  <c r="BJ325" i="82"/>
  <c r="BK325" i="82"/>
  <c r="BL325" i="82"/>
  <c r="BM325" i="82"/>
  <c r="BN325" i="82"/>
  <c r="BO325" i="82"/>
  <c r="BP325" i="82"/>
  <c r="BQ325" i="82"/>
  <c r="BR325" i="82"/>
  <c r="B326" i="82"/>
  <c r="C326" i="82"/>
  <c r="D326" i="82"/>
  <c r="E326" i="82"/>
  <c r="F326" i="82"/>
  <c r="G326" i="82"/>
  <c r="H326" i="82"/>
  <c r="I326" i="82"/>
  <c r="J326" i="82"/>
  <c r="K326" i="82"/>
  <c r="L326" i="82"/>
  <c r="M326" i="82"/>
  <c r="N326" i="82"/>
  <c r="O326" i="82"/>
  <c r="P326" i="82"/>
  <c r="Q326" i="82"/>
  <c r="R326" i="82"/>
  <c r="S326" i="82"/>
  <c r="T326" i="82"/>
  <c r="U326" i="82"/>
  <c r="V326" i="82"/>
  <c r="W326" i="82"/>
  <c r="X326" i="82"/>
  <c r="Y326" i="82"/>
  <c r="Z326" i="82"/>
  <c r="AA326" i="82"/>
  <c r="AB326" i="82"/>
  <c r="AC326" i="82"/>
  <c r="AD326" i="82"/>
  <c r="AE326" i="82"/>
  <c r="AF326" i="82"/>
  <c r="AG326" i="82"/>
  <c r="AH326" i="82"/>
  <c r="AI326" i="82"/>
  <c r="AJ326" i="82"/>
  <c r="AK326" i="82"/>
  <c r="AL326" i="82"/>
  <c r="AM326" i="82"/>
  <c r="AN326" i="82"/>
  <c r="AO326" i="82"/>
  <c r="AP326" i="82"/>
  <c r="AQ326" i="82"/>
  <c r="AR326" i="82"/>
  <c r="AS326" i="82"/>
  <c r="AT326" i="82"/>
  <c r="AU326" i="82"/>
  <c r="AV326" i="82"/>
  <c r="AW326" i="82"/>
  <c r="AX326" i="82"/>
  <c r="AY326" i="82"/>
  <c r="AZ326" i="82"/>
  <c r="BA326" i="82"/>
  <c r="BB326" i="82"/>
  <c r="BC326" i="82"/>
  <c r="BD326" i="82"/>
  <c r="BE326" i="82"/>
  <c r="BF326" i="82"/>
  <c r="BG326" i="82"/>
  <c r="BH326" i="82"/>
  <c r="BI326" i="82"/>
  <c r="BJ326" i="82"/>
  <c r="BK326" i="82"/>
  <c r="BL326" i="82"/>
  <c r="BM326" i="82"/>
  <c r="BN326" i="82"/>
  <c r="BO326" i="82"/>
  <c r="BP326" i="82"/>
  <c r="BQ326" i="82"/>
  <c r="BR326" i="82"/>
  <c r="B327" i="82"/>
  <c r="C327" i="82"/>
  <c r="D327" i="82"/>
  <c r="E327" i="82"/>
  <c r="F327" i="82"/>
  <c r="G327" i="82"/>
  <c r="H327" i="82"/>
  <c r="I327" i="82"/>
  <c r="J327" i="82"/>
  <c r="K327" i="82"/>
  <c r="L327" i="82"/>
  <c r="M327" i="82"/>
  <c r="N327" i="82"/>
  <c r="O327" i="82"/>
  <c r="P327" i="82"/>
  <c r="Q327" i="82"/>
  <c r="R327" i="82"/>
  <c r="S327" i="82"/>
  <c r="T327" i="82"/>
  <c r="U327" i="82"/>
  <c r="V327" i="82"/>
  <c r="W327" i="82"/>
  <c r="X327" i="82"/>
  <c r="Y327" i="82"/>
  <c r="Z327" i="82"/>
  <c r="AA327" i="82"/>
  <c r="AB327" i="82"/>
  <c r="AC327" i="82"/>
  <c r="AD327" i="82"/>
  <c r="AE327" i="82"/>
  <c r="AF327" i="82"/>
  <c r="AG327" i="82"/>
  <c r="AH327" i="82"/>
  <c r="AI327" i="82"/>
  <c r="AJ327" i="82"/>
  <c r="AK327" i="82"/>
  <c r="AL327" i="82"/>
  <c r="AM327" i="82"/>
  <c r="AN327" i="82"/>
  <c r="AO327" i="82"/>
  <c r="AP327" i="82"/>
  <c r="AQ327" i="82"/>
  <c r="AR327" i="82"/>
  <c r="AS327" i="82"/>
  <c r="AT327" i="82"/>
  <c r="AU327" i="82"/>
  <c r="AV327" i="82"/>
  <c r="AW327" i="82"/>
  <c r="AX327" i="82"/>
  <c r="AY327" i="82"/>
  <c r="AZ327" i="82"/>
  <c r="BA327" i="82"/>
  <c r="BB327" i="82"/>
  <c r="BC327" i="82"/>
  <c r="BD327" i="82"/>
  <c r="BE327" i="82"/>
  <c r="BF327" i="82"/>
  <c r="BG327" i="82"/>
  <c r="BH327" i="82"/>
  <c r="BI327" i="82"/>
  <c r="BJ327" i="82"/>
  <c r="BK327" i="82"/>
  <c r="BL327" i="82"/>
  <c r="BM327" i="82"/>
  <c r="BN327" i="82"/>
  <c r="BO327" i="82"/>
  <c r="BP327" i="82"/>
  <c r="BQ327" i="82"/>
  <c r="BR327" i="82"/>
  <c r="A334" i="82"/>
  <c r="A333" i="82"/>
  <c r="A332" i="82"/>
  <c r="A327" i="82"/>
  <c r="A326" i="82"/>
  <c r="A325" i="82"/>
  <c r="A323" i="82"/>
  <c r="A322" i="82"/>
  <c r="A321" i="82"/>
  <c r="A320" i="82"/>
  <c r="A317" i="82"/>
  <c r="A318" i="82"/>
  <c r="A319" i="82"/>
  <c r="A316" i="82"/>
  <c r="A315" i="82"/>
  <c r="A314" i="82"/>
  <c r="A311" i="82"/>
  <c r="A312" i="82"/>
  <c r="A313" i="82"/>
  <c r="A310" i="82"/>
  <c r="A308" i="82"/>
  <c r="A309" i="82"/>
  <c r="A307" i="82"/>
  <c r="A306" i="82"/>
  <c r="A305" i="82"/>
  <c r="A304" i="82"/>
  <c r="A303" i="82"/>
  <c r="A302" i="82"/>
  <c r="A301" i="82"/>
  <c r="A300" i="82"/>
  <c r="A299" i="82"/>
  <c r="A298" i="82"/>
  <c r="A297" i="82"/>
  <c r="A296" i="82"/>
  <c r="A295" i="82"/>
  <c r="A294" i="82"/>
  <c r="A293" i="82"/>
  <c r="A292" i="82"/>
  <c r="A291" i="82"/>
  <c r="A290" i="82"/>
  <c r="A289" i="82"/>
  <c r="A288" i="82"/>
  <c r="A287" i="82"/>
  <c r="A286" i="82"/>
  <c r="A285" i="82"/>
  <c r="BR276" i="84"/>
  <c r="BQ276" i="84"/>
  <c r="BP276" i="84"/>
  <c r="BO276" i="84"/>
  <c r="BN276" i="84"/>
  <c r="BM276" i="84"/>
  <c r="BL276" i="84"/>
  <c r="BK276" i="84"/>
  <c r="BJ276" i="84"/>
  <c r="BI276" i="84"/>
  <c r="BH276" i="84"/>
  <c r="BG276" i="84"/>
  <c r="BF276" i="84"/>
  <c r="BE276" i="84"/>
  <c r="BD276" i="84"/>
  <c r="BC276" i="84"/>
  <c r="BB276" i="84"/>
  <c r="BA276" i="84"/>
  <c r="AZ276" i="84"/>
  <c r="AY276" i="84"/>
  <c r="AX276" i="84"/>
  <c r="AW276" i="84"/>
  <c r="AV276" i="84"/>
  <c r="AU276" i="84"/>
  <c r="AT276" i="84"/>
  <c r="AS276" i="84"/>
  <c r="AR276" i="84"/>
  <c r="AQ276" i="84"/>
  <c r="AP276" i="84"/>
  <c r="AO276" i="84"/>
  <c r="AN276" i="84"/>
  <c r="AM276" i="84"/>
  <c r="AL276" i="84"/>
  <c r="AK276" i="84"/>
  <c r="AJ276" i="84"/>
  <c r="AI276" i="84"/>
  <c r="AH276" i="84"/>
  <c r="AG276" i="84"/>
  <c r="AF276" i="84"/>
  <c r="AE276" i="84"/>
  <c r="AD276" i="84"/>
  <c r="AC276" i="84"/>
  <c r="AB276" i="84"/>
  <c r="AA276" i="84"/>
  <c r="Z276" i="84"/>
  <c r="Y276" i="84"/>
  <c r="X276" i="84"/>
  <c r="W276" i="84"/>
  <c r="V276" i="84"/>
  <c r="T276" i="84"/>
  <c r="S276" i="84"/>
  <c r="R276" i="84"/>
  <c r="Q276" i="84"/>
  <c r="P276" i="84"/>
  <c r="O276" i="84"/>
  <c r="N276" i="84"/>
  <c r="M276" i="84"/>
  <c r="L276" i="84"/>
  <c r="K276" i="84"/>
  <c r="J276" i="84"/>
  <c r="I276" i="84"/>
  <c r="H276" i="84"/>
  <c r="G276" i="84"/>
  <c r="F276" i="84"/>
  <c r="E276" i="84"/>
  <c r="D276" i="84"/>
  <c r="D277" i="84"/>
  <c r="E277" i="84"/>
  <c r="F277" i="84"/>
  <c r="G277" i="84"/>
  <c r="H277" i="84"/>
  <c r="I277" i="84"/>
  <c r="J277" i="84"/>
  <c r="K277" i="84"/>
  <c r="L277" i="84"/>
  <c r="M277" i="84"/>
  <c r="N277" i="84"/>
  <c r="O277" i="84"/>
  <c r="P277" i="84"/>
  <c r="Q277" i="84"/>
  <c r="R277" i="84"/>
  <c r="S277" i="84"/>
  <c r="T277" i="84"/>
  <c r="U277" i="84"/>
  <c r="V277" i="84"/>
  <c r="W277" i="84"/>
  <c r="X277" i="84"/>
  <c r="Y277" i="84"/>
  <c r="Z277" i="84"/>
  <c r="AA277" i="84"/>
  <c r="AB277" i="84"/>
  <c r="AC277" i="84"/>
  <c r="AD277" i="84"/>
  <c r="AE277" i="84"/>
  <c r="AF277" i="84"/>
  <c r="AG277" i="84"/>
  <c r="AH277" i="84"/>
  <c r="AI277" i="84"/>
  <c r="AJ277" i="84"/>
  <c r="AK277" i="84"/>
  <c r="AL277" i="84"/>
  <c r="AM277" i="84"/>
  <c r="AN277" i="84"/>
  <c r="AO277" i="84"/>
  <c r="AP277" i="84"/>
  <c r="AQ277" i="84"/>
  <c r="AR277" i="84"/>
  <c r="AS277" i="84"/>
  <c r="AT277" i="84"/>
  <c r="AU277" i="84"/>
  <c r="AV277" i="84"/>
  <c r="AW277" i="84"/>
  <c r="AX277" i="84"/>
  <c r="AY277" i="84"/>
  <c r="AZ277" i="84"/>
  <c r="BA277" i="84"/>
  <c r="BB277" i="84"/>
  <c r="BC277" i="84"/>
  <c r="BD277" i="84"/>
  <c r="BE277" i="84"/>
  <c r="BF277" i="84"/>
  <c r="BG277" i="84"/>
  <c r="BH277" i="84"/>
  <c r="BI277" i="84"/>
  <c r="BJ277" i="84"/>
  <c r="BK277" i="84"/>
  <c r="BL277" i="84"/>
  <c r="BM277" i="84"/>
  <c r="BN277" i="84"/>
  <c r="BO277" i="84"/>
  <c r="BP277" i="84"/>
  <c r="BQ277" i="84"/>
  <c r="BR277" i="84"/>
  <c r="E282" i="84"/>
  <c r="F282" i="84"/>
  <c r="G282" i="84"/>
  <c r="H282" i="84"/>
  <c r="I282" i="84"/>
  <c r="J282" i="84"/>
  <c r="K282" i="84"/>
  <c r="L282" i="84"/>
  <c r="N282" i="84"/>
  <c r="O282" i="84"/>
  <c r="P282" i="84"/>
  <c r="Q282" i="84"/>
  <c r="R282" i="84"/>
  <c r="S282" i="84"/>
  <c r="T282" i="84"/>
  <c r="U282" i="84"/>
  <c r="V282" i="84"/>
  <c r="W282" i="84"/>
  <c r="X282" i="84"/>
  <c r="Y282" i="84"/>
  <c r="Z282" i="84"/>
  <c r="AA282" i="84"/>
  <c r="AB282" i="84"/>
  <c r="AC282" i="84"/>
  <c r="AD282" i="84"/>
  <c r="AE282" i="84"/>
  <c r="AF282" i="84"/>
  <c r="AG282" i="84"/>
  <c r="AH282" i="84"/>
  <c r="AI282" i="84"/>
  <c r="AJ282" i="84"/>
  <c r="AK282" i="84"/>
  <c r="AL282" i="84"/>
  <c r="AM282" i="84"/>
  <c r="AN282" i="84"/>
  <c r="AO282" i="84"/>
  <c r="AP282" i="84"/>
  <c r="AQ282" i="84"/>
  <c r="AR282" i="84"/>
  <c r="AS282" i="84"/>
  <c r="AT282" i="84"/>
  <c r="AU282" i="84"/>
  <c r="AV282" i="84"/>
  <c r="AW282" i="84"/>
  <c r="AX282" i="84"/>
  <c r="AY282" i="84"/>
  <c r="AZ282" i="84"/>
  <c r="BA282" i="84"/>
  <c r="BB282" i="84"/>
  <c r="BC282" i="84"/>
  <c r="BD282" i="84"/>
  <c r="BE282" i="84"/>
  <c r="BF282" i="84"/>
  <c r="BG282" i="84"/>
  <c r="BH282" i="84"/>
  <c r="BI282" i="84"/>
  <c r="BJ282" i="84"/>
  <c r="BK282" i="84"/>
  <c r="BL282" i="84"/>
  <c r="BM282" i="84"/>
  <c r="BN282" i="84"/>
  <c r="BO282" i="84"/>
  <c r="BP282" i="84"/>
  <c r="BQ282" i="84"/>
  <c r="BR282" i="84"/>
  <c r="D282" i="84"/>
  <c r="H77" i="1"/>
  <c r="D27" i="91"/>
  <c r="G13" i="88"/>
  <c r="M282" i="84" l="1"/>
  <c r="BQ328" i="82"/>
  <c r="BQ329" i="82" s="1"/>
  <c r="BQ336" i="82" s="1"/>
  <c r="Z328" i="82"/>
  <c r="Z329" i="82" s="1"/>
  <c r="Z336" i="82" s="1"/>
  <c r="AO328" i="82"/>
  <c r="AO329" i="82" s="1"/>
  <c r="AO336" i="82" s="1"/>
  <c r="AZ328" i="82"/>
  <c r="AZ329" i="82" s="1"/>
  <c r="AZ336" i="82" s="1"/>
  <c r="N328" i="82"/>
  <c r="N329" i="82" s="1"/>
  <c r="N336" i="82" s="1"/>
  <c r="BA328" i="82"/>
  <c r="BA329" i="82" s="1"/>
  <c r="BA336" i="82" s="1"/>
  <c r="BD328" i="82"/>
  <c r="BD329" i="82" s="1"/>
  <c r="BD336" i="82" s="1"/>
  <c r="AC328" i="82"/>
  <c r="AC329" i="82" s="1"/>
  <c r="AC336" i="82" s="1"/>
  <c r="AN328" i="82"/>
  <c r="AN329" i="82" s="1"/>
  <c r="AN336" i="82" s="1"/>
  <c r="BM328" i="82"/>
  <c r="BM329" i="82" s="1"/>
  <c r="BM336" i="82" s="1"/>
  <c r="P328" i="82"/>
  <c r="P329" i="82" s="1"/>
  <c r="P336" i="82" s="1"/>
  <c r="M328" i="82"/>
  <c r="BO328" i="82"/>
  <c r="BO329" i="82" s="1"/>
  <c r="BO336" i="82" s="1"/>
  <c r="BC328" i="82"/>
  <c r="BC329" i="82" s="1"/>
  <c r="BC336" i="82" s="1"/>
  <c r="AM328" i="82"/>
  <c r="AM329" i="82" s="1"/>
  <c r="AM336" i="82" s="1"/>
  <c r="AA328" i="82"/>
  <c r="AA329" i="82" s="1"/>
  <c r="AA336" i="82" s="1"/>
  <c r="O328" i="82"/>
  <c r="O329" i="82" s="1"/>
  <c r="O336" i="82" s="1"/>
  <c r="BJ328" i="82"/>
  <c r="BJ329" i="82" s="1"/>
  <c r="BJ336" i="82" s="1"/>
  <c r="AX328" i="82"/>
  <c r="AX329" i="82" s="1"/>
  <c r="AX336" i="82" s="1"/>
  <c r="AK328" i="82"/>
  <c r="AK329" i="82" s="1"/>
  <c r="AK336" i="82" s="1"/>
  <c r="Y328" i="82"/>
  <c r="Y329" i="82" s="1"/>
  <c r="Y336" i="82" s="1"/>
  <c r="AH328" i="82"/>
  <c r="AH329" i="82" s="1"/>
  <c r="AH336" i="82" s="1"/>
  <c r="V328" i="82"/>
  <c r="V329" i="82" s="1"/>
  <c r="V336" i="82" s="1"/>
  <c r="J328" i="82"/>
  <c r="J329" i="82" s="1"/>
  <c r="J336" i="82" s="1"/>
  <c r="AQ328" i="82"/>
  <c r="AQ329" i="82" s="1"/>
  <c r="AQ336" i="82" s="1"/>
  <c r="AE328" i="82"/>
  <c r="AE329" i="82" s="1"/>
  <c r="AE336" i="82" s="1"/>
  <c r="S328" i="82"/>
  <c r="S329" i="82" s="1"/>
  <c r="S336" i="82" s="1"/>
  <c r="G328" i="82"/>
  <c r="G329" i="82" s="1"/>
  <c r="G336" i="82" s="1"/>
  <c r="AJ328" i="82"/>
  <c r="AJ329" i="82" s="1"/>
  <c r="AJ336" i="82" s="1"/>
  <c r="X328" i="82"/>
  <c r="X329" i="82" s="1"/>
  <c r="X336" i="82" s="1"/>
  <c r="L328" i="82"/>
  <c r="L329" i="82" s="1"/>
  <c r="L336" i="82" s="1"/>
  <c r="L340" i="82" s="1"/>
  <c r="AG328" i="82"/>
  <c r="AG329" i="82" s="1"/>
  <c r="AG336" i="82" s="1"/>
  <c r="U328" i="82"/>
  <c r="U329" i="82" s="1"/>
  <c r="U336" i="82" s="1"/>
  <c r="I328" i="82"/>
  <c r="I329" i="82" s="1"/>
  <c r="I336" i="82" s="1"/>
  <c r="BN328" i="82"/>
  <c r="BN329" i="82" s="1"/>
  <c r="BN336" i="82" s="1"/>
  <c r="BB328" i="82"/>
  <c r="BB329" i="82" s="1"/>
  <c r="BB336" i="82" s="1"/>
  <c r="AP328" i="82"/>
  <c r="AP329" i="82" s="1"/>
  <c r="AP336" i="82" s="1"/>
  <c r="AD328" i="82"/>
  <c r="AD329" i="82" s="1"/>
  <c r="AD336" i="82" s="1"/>
  <c r="R328" i="82"/>
  <c r="R329" i="82" s="1"/>
  <c r="R336" i="82" s="1"/>
  <c r="F328" i="82"/>
  <c r="F329" i="82" s="1"/>
  <c r="F336" i="82" s="1"/>
  <c r="BL328" i="82"/>
  <c r="BL329" i="82" s="1"/>
  <c r="BL336" i="82" s="1"/>
  <c r="BK328" i="82"/>
  <c r="BK329" i="82" s="1"/>
  <c r="BK336" i="82" s="1"/>
  <c r="AY328" i="82"/>
  <c r="AY329" i="82" s="1"/>
  <c r="AY336" i="82" s="1"/>
  <c r="BH328" i="82"/>
  <c r="BH329" i="82" s="1"/>
  <c r="BH336" i="82" s="1"/>
  <c r="AV328" i="82"/>
  <c r="AV329" i="82" s="1"/>
  <c r="AV336" i="82" s="1"/>
  <c r="BR328" i="82"/>
  <c r="BR329" i="82" s="1"/>
  <c r="BR336" i="82" s="1"/>
  <c r="AT328" i="82"/>
  <c r="AT329" i="82" s="1"/>
  <c r="AT336" i="82" s="1"/>
  <c r="AL328" i="82"/>
  <c r="AL329" i="82" s="1"/>
  <c r="AL336" i="82" s="1"/>
  <c r="AI328" i="82"/>
  <c r="AI329" i="82" s="1"/>
  <c r="AI336" i="82" s="1"/>
  <c r="W328" i="82"/>
  <c r="W329" i="82" s="1"/>
  <c r="W336" i="82" s="1"/>
  <c r="K328" i="82"/>
  <c r="K329" i="82" s="1"/>
  <c r="K336" i="82" s="1"/>
  <c r="BP328" i="82"/>
  <c r="BP329" i="82" s="1"/>
  <c r="BP336" i="82" s="1"/>
  <c r="AR328" i="82"/>
  <c r="AR329" i="82" s="1"/>
  <c r="AR336" i="82" s="1"/>
  <c r="AF328" i="82"/>
  <c r="AF329" i="82" s="1"/>
  <c r="AF336" i="82" s="1"/>
  <c r="T328" i="82"/>
  <c r="T329" i="82" s="1"/>
  <c r="T336" i="82" s="1"/>
  <c r="H328" i="82"/>
  <c r="H329" i="82" s="1"/>
  <c r="H336" i="82" s="1"/>
  <c r="Q328" i="82"/>
  <c r="Q329" i="82" s="1"/>
  <c r="Q336" i="82" s="1"/>
  <c r="E328" i="82"/>
  <c r="E329" i="82" s="1"/>
  <c r="AB328" i="82"/>
  <c r="AB329" i="82" s="1"/>
  <c r="AB336" i="82" s="1"/>
  <c r="D328" i="82"/>
  <c r="BG328" i="82"/>
  <c r="BG329" i="82" s="1"/>
  <c r="BG336" i="82" s="1"/>
  <c r="AU328" i="82"/>
  <c r="AU329" i="82" s="1"/>
  <c r="AU336" i="82" s="1"/>
  <c r="BF328" i="82"/>
  <c r="BF329" i="82" s="1"/>
  <c r="BF336" i="82" s="1"/>
  <c r="BE328" i="82"/>
  <c r="BE329" i="82" s="1"/>
  <c r="BE336" i="82" s="1"/>
  <c r="BE340" i="82" s="1"/>
  <c r="AS328" i="82"/>
  <c r="AS329" i="82" s="1"/>
  <c r="AS336" i="82" s="1"/>
  <c r="BI328" i="82"/>
  <c r="BI329" i="82" s="1"/>
  <c r="BI336" i="82" s="1"/>
  <c r="AW328" i="82"/>
  <c r="AW329" i="82" s="1"/>
  <c r="AW336" i="82" s="1"/>
  <c r="D28" i="91"/>
  <c r="D29" i="91"/>
  <c r="M329" i="82" l="1"/>
  <c r="M336" i="82" s="1"/>
  <c r="E336" i="82"/>
  <c r="D24" i="91"/>
  <c r="D23" i="91"/>
  <c r="D22" i="91"/>
  <c r="D19" i="91"/>
  <c r="D18" i="91"/>
  <c r="D17" i="91"/>
  <c r="D16" i="91"/>
  <c r="L30" i="88"/>
  <c r="M30" i="88"/>
  <c r="G30" i="88" s="1"/>
  <c r="C259" i="28"/>
  <c r="E259" i="28"/>
  <c r="L259" i="28" s="1"/>
  <c r="E30" i="88" s="1"/>
  <c r="A259" i="28"/>
  <c r="D31" i="91" l="1"/>
  <c r="D26" i="91"/>
  <c r="D13" i="91" l="1"/>
  <c r="D33" i="91"/>
  <c r="D15" i="91"/>
  <c r="D14" i="91"/>
  <c r="E219" i="28"/>
  <c r="C228" i="28" l="1"/>
  <c r="E218" i="28" l="1"/>
  <c r="E231" i="28" l="1"/>
  <c r="L219" i="28" l="1"/>
  <c r="C219" i="28"/>
  <c r="E279" i="82" l="1"/>
  <c r="F279" i="82"/>
  <c r="G279" i="82"/>
  <c r="H279" i="82"/>
  <c r="I279" i="82"/>
  <c r="J279" i="82"/>
  <c r="K279" i="82"/>
  <c r="L279" i="82"/>
  <c r="M279" i="82"/>
  <c r="N279" i="82"/>
  <c r="O279" i="82"/>
  <c r="P279" i="82"/>
  <c r="Q279" i="82"/>
  <c r="R279" i="82"/>
  <c r="S279" i="82"/>
  <c r="T279" i="82"/>
  <c r="U279" i="82"/>
  <c r="V279" i="82"/>
  <c r="W279" i="82"/>
  <c r="X279" i="82"/>
  <c r="Y279" i="82"/>
  <c r="Z279" i="82"/>
  <c r="AA279" i="82"/>
  <c r="AB279" i="82"/>
  <c r="AC279" i="82"/>
  <c r="AD279" i="82"/>
  <c r="AE279" i="82"/>
  <c r="AF279" i="82"/>
  <c r="AG279" i="82"/>
  <c r="AH279" i="82"/>
  <c r="AI279" i="82"/>
  <c r="AJ279" i="82"/>
  <c r="AK279" i="82"/>
  <c r="AL279" i="82"/>
  <c r="AM279" i="82"/>
  <c r="AN279" i="82"/>
  <c r="AO279" i="82"/>
  <c r="AP279" i="82"/>
  <c r="AQ279" i="82"/>
  <c r="AR279" i="82"/>
  <c r="AS279" i="82"/>
  <c r="AT279" i="82"/>
  <c r="AU279" i="82"/>
  <c r="AV279" i="82"/>
  <c r="AW279" i="82"/>
  <c r="AX279" i="82"/>
  <c r="AY279" i="82"/>
  <c r="AZ279" i="82"/>
  <c r="BA279" i="82"/>
  <c r="BB279" i="82"/>
  <c r="BC279" i="82"/>
  <c r="BD279" i="82"/>
  <c r="BE279" i="82"/>
  <c r="BF279" i="82"/>
  <c r="BG279" i="82"/>
  <c r="BH279" i="82"/>
  <c r="BI279" i="82"/>
  <c r="BJ279" i="82"/>
  <c r="BK279" i="82"/>
  <c r="BL279" i="82"/>
  <c r="BM279" i="82"/>
  <c r="BN279" i="82"/>
  <c r="BO279" i="82"/>
  <c r="BP279" i="82"/>
  <c r="BQ279" i="82"/>
  <c r="BR279" i="82"/>
  <c r="D279" i="82"/>
  <c r="D25" i="91" l="1"/>
  <c r="E146" i="28" l="1"/>
  <c r="E147" i="28"/>
  <c r="M13" i="88"/>
  <c r="D35" i="91" l="1"/>
  <c r="C220" i="28" l="1"/>
  <c r="E230" i="28"/>
  <c r="E229" i="28"/>
  <c r="C109" i="72" l="1"/>
  <c r="E21" i="1" l="1"/>
  <c r="E14" i="1"/>
  <c r="E11" i="1"/>
  <c r="E264" i="1" l="1"/>
  <c r="E261" i="1"/>
  <c r="E260" i="1"/>
  <c r="E255" i="1"/>
  <c r="E256" i="1"/>
  <c r="E257" i="1"/>
  <c r="E258" i="1"/>
  <c r="E259" i="1"/>
  <c r="E254" i="1"/>
  <c r="E251" i="1"/>
  <c r="E249" i="1"/>
  <c r="E247" i="1"/>
  <c r="E245" i="1"/>
  <c r="E243" i="1"/>
  <c r="E244" i="1"/>
  <c r="E242" i="1"/>
  <c r="E238" i="1"/>
  <c r="E227" i="1"/>
  <c r="E226" i="1"/>
  <c r="E223" i="1"/>
  <c r="E221" i="1"/>
  <c r="E219" i="1"/>
  <c r="E220" i="1"/>
  <c r="E218" i="1"/>
  <c r="E215" i="1"/>
  <c r="E216" i="1"/>
  <c r="E214" i="1"/>
  <c r="E209" i="1"/>
  <c r="E207" i="1"/>
  <c r="E208" i="1"/>
  <c r="E206" i="1"/>
  <c r="E203" i="1"/>
  <c r="E201" i="1"/>
  <c r="E202" i="1"/>
  <c r="E200" i="1"/>
  <c r="E197" i="1"/>
  <c r="E195" i="1"/>
  <c r="E196" i="1"/>
  <c r="E194" i="1"/>
  <c r="E190" i="1"/>
  <c r="E189" i="1"/>
  <c r="E181" i="1"/>
  <c r="E182" i="1"/>
  <c r="E183" i="1"/>
  <c r="E184" i="1"/>
  <c r="E185" i="1"/>
  <c r="E173" i="1"/>
  <c r="E175" i="1"/>
  <c r="E177" i="1"/>
  <c r="E168" i="1"/>
  <c r="E169" i="1"/>
  <c r="E170" i="1"/>
  <c r="E171" i="1"/>
  <c r="E165" i="1"/>
  <c r="E166" i="1"/>
  <c r="E162" i="1"/>
  <c r="E164" i="1"/>
  <c r="E160" i="1"/>
  <c r="E161" i="1"/>
  <c r="E155" i="1"/>
  <c r="E151" i="1"/>
  <c r="E152" i="1"/>
  <c r="E153" i="1"/>
  <c r="E154" i="1"/>
  <c r="E147" i="1"/>
  <c r="E148" i="1"/>
  <c r="E149" i="1"/>
  <c r="E150" i="1"/>
  <c r="E143" i="1"/>
  <c r="E144" i="1"/>
  <c r="E145" i="1"/>
  <c r="E146" i="1"/>
  <c r="E139" i="1"/>
  <c r="E140" i="1"/>
  <c r="E142" i="1"/>
  <c r="E136" i="1"/>
  <c r="E137" i="1"/>
  <c r="E138" i="1"/>
  <c r="E132" i="1"/>
  <c r="E133" i="1"/>
  <c r="E134" i="1"/>
  <c r="E135" i="1"/>
  <c r="E128" i="1"/>
  <c r="E129" i="1"/>
  <c r="E130" i="1"/>
  <c r="E131" i="1"/>
  <c r="E125" i="1"/>
  <c r="E126" i="1"/>
  <c r="E127" i="1"/>
  <c r="E120" i="1"/>
  <c r="E121" i="1"/>
  <c r="E122" i="1"/>
  <c r="H155" i="1" s="1"/>
  <c r="I155" i="1" s="1"/>
  <c r="E117" i="1"/>
  <c r="E118" i="1"/>
  <c r="E119" i="1"/>
  <c r="E114" i="1"/>
  <c r="E115" i="1"/>
  <c r="E116" i="1"/>
  <c r="E109" i="1"/>
  <c r="E110" i="1"/>
  <c r="E111" i="1"/>
  <c r="E112" i="1"/>
  <c r="E113" i="1"/>
  <c r="E105" i="1"/>
  <c r="E106" i="1"/>
  <c r="E107" i="1"/>
  <c r="E108" i="1"/>
  <c r="E100" i="1"/>
  <c r="E101" i="1"/>
  <c r="E102" i="1"/>
  <c r="E103" i="1"/>
  <c r="E97" i="1"/>
  <c r="E98" i="1"/>
  <c r="E99" i="1"/>
  <c r="E94" i="1"/>
  <c r="E95" i="1"/>
  <c r="E96" i="1"/>
  <c r="E91" i="1"/>
  <c r="E92" i="1"/>
  <c r="E93" i="1"/>
  <c r="E86" i="1"/>
  <c r="E87" i="1"/>
  <c r="E88" i="1"/>
  <c r="E89" i="1"/>
  <c r="E90" i="1"/>
  <c r="E81" i="1"/>
  <c r="E85" i="1"/>
  <c r="E79" i="1"/>
  <c r="E78" i="1"/>
  <c r="E75" i="1"/>
  <c r="E76" i="1"/>
  <c r="E69" i="1"/>
  <c r="E70" i="1"/>
  <c r="E71" i="1"/>
  <c r="E72" i="1"/>
  <c r="E73" i="1"/>
  <c r="E74" i="1"/>
  <c r="E64" i="1"/>
  <c r="E65" i="1"/>
  <c r="E66" i="1"/>
  <c r="E67" i="1"/>
  <c r="E68" i="1"/>
  <c r="E59" i="1"/>
  <c r="E60" i="1"/>
  <c r="E61" i="1"/>
  <c r="E63" i="1"/>
  <c r="E54" i="1"/>
  <c r="E55" i="1"/>
  <c r="E56" i="1"/>
  <c r="E57" i="1"/>
  <c r="E58" i="1"/>
  <c r="E51" i="1"/>
  <c r="E52" i="1"/>
  <c r="E53" i="1"/>
  <c r="E46" i="1"/>
  <c r="E47" i="1"/>
  <c r="E48" i="1"/>
  <c r="E49" i="1"/>
  <c r="E50" i="1"/>
  <c r="E43" i="1"/>
  <c r="E44" i="1"/>
  <c r="E39" i="1"/>
  <c r="E40" i="1"/>
  <c r="E41" i="1"/>
  <c r="E32" i="1"/>
  <c r="E33" i="1"/>
  <c r="E34" i="1"/>
  <c r="E35" i="1"/>
  <c r="E36" i="1"/>
  <c r="E37" i="1"/>
  <c r="E38" i="1"/>
  <c r="E31" i="1"/>
  <c r="E30" i="1"/>
  <c r="E27" i="1"/>
  <c r="E28" i="1"/>
  <c r="E10" i="1"/>
  <c r="E12" i="1"/>
  <c r="E13" i="1"/>
  <c r="E15" i="1"/>
  <c r="E16" i="1"/>
  <c r="E17" i="1"/>
  <c r="E18" i="1"/>
  <c r="E19" i="1"/>
  <c r="E20" i="1"/>
  <c r="E22" i="1"/>
  <c r="E23" i="1"/>
  <c r="E24" i="1"/>
  <c r="E25" i="1"/>
  <c r="E9" i="1"/>
  <c r="C191" i="28" l="1"/>
  <c r="E189" i="28"/>
  <c r="L189" i="28" s="1"/>
  <c r="E190" i="28"/>
  <c r="L190" i="28" s="1"/>
  <c r="E191" i="28"/>
  <c r="L191" i="28" s="1"/>
  <c r="C190" i="28"/>
  <c r="C189" i="28"/>
  <c r="A190" i="28"/>
  <c r="A191" i="28"/>
  <c r="A189" i="28"/>
  <c r="B190" i="28"/>
  <c r="B191" i="28"/>
  <c r="B189" i="28"/>
  <c r="E232" i="28"/>
  <c r="C232" i="28"/>
  <c r="C231" i="28"/>
  <c r="C230" i="28"/>
  <c r="C229" i="28"/>
  <c r="H40" i="1" l="1"/>
  <c r="I40" i="1" s="1"/>
  <c r="L231" i="28"/>
  <c r="D36" i="91"/>
  <c r="D37" i="91"/>
  <c r="D38" i="91"/>
  <c r="L230" i="28"/>
  <c r="L232" i="28"/>
  <c r="L229" i="28"/>
  <c r="E228" i="28"/>
  <c r="G40" i="1" l="1"/>
  <c r="E220" i="28" l="1"/>
  <c r="L220" i="28" s="1"/>
  <c r="E40" i="88" s="1"/>
  <c r="G40" i="88" l="1"/>
  <c r="E225" i="28"/>
  <c r="E258" i="28"/>
  <c r="E4" i="99" l="1"/>
  <c r="C4" i="99"/>
  <c r="B4" i="99"/>
  <c r="B44" i="91" l="1"/>
  <c r="B42" i="91"/>
  <c r="B40" i="91"/>
  <c r="B3" i="93" l="1"/>
  <c r="G71" i="28" l="1"/>
  <c r="G245" i="1"/>
  <c r="G244" i="1"/>
  <c r="G126" i="1"/>
  <c r="G100" i="1"/>
  <c r="G69" i="1" l="1"/>
  <c r="E257" i="28" l="1"/>
  <c r="C257" i="28"/>
  <c r="A228" i="28"/>
  <c r="E227" i="28"/>
  <c r="C227" i="28"/>
  <c r="A227" i="28"/>
  <c r="E226" i="28"/>
  <c r="C226" i="28"/>
  <c r="A226" i="28"/>
  <c r="C225" i="28"/>
  <c r="A225" i="28"/>
  <c r="E224" i="28"/>
  <c r="C224" i="28"/>
  <c r="A224" i="28"/>
  <c r="E223" i="28"/>
  <c r="C223" i="28"/>
  <c r="A223" i="28"/>
  <c r="E222" i="28"/>
  <c r="C222" i="28"/>
  <c r="A222" i="28"/>
  <c r="C218" i="28"/>
  <c r="A218" i="28"/>
  <c r="E217" i="28"/>
  <c r="C217" i="28"/>
  <c r="A217" i="28"/>
  <c r="E216" i="28"/>
  <c r="C216" i="28"/>
  <c r="A216" i="28"/>
  <c r="E215" i="28"/>
  <c r="C215" i="28"/>
  <c r="A215" i="28"/>
  <c r="E214" i="28"/>
  <c r="C214" i="28"/>
  <c r="A214" i="28"/>
  <c r="E221" i="28"/>
  <c r="C221" i="28"/>
  <c r="A221" i="28"/>
  <c r="E213" i="28"/>
  <c r="C213" i="28"/>
  <c r="A213" i="28"/>
  <c r="E212" i="28"/>
  <c r="C212" i="28"/>
  <c r="A212" i="28"/>
  <c r="L238" i="28" l="1"/>
  <c r="L13" i="88" l="1"/>
  <c r="L258" i="28" l="1"/>
  <c r="D32" i="91" l="1"/>
  <c r="D21" i="91"/>
  <c r="D20" i="91"/>
  <c r="D12" i="91"/>
  <c r="D11" i="91"/>
  <c r="E178" i="28" l="1"/>
  <c r="E145" i="28"/>
  <c r="L145" i="28" s="1"/>
  <c r="L146" i="28"/>
  <c r="L147" i="28"/>
  <c r="E144" i="28"/>
  <c r="L218" i="28"/>
  <c r="E39" i="88" s="1"/>
  <c r="L217" i="28"/>
  <c r="L216" i="28"/>
  <c r="E36" i="88" s="1"/>
  <c r="AA216" i="28"/>
  <c r="AA217" i="28"/>
  <c r="AA218" i="28"/>
  <c r="L227" i="28"/>
  <c r="E42" i="88" s="1"/>
  <c r="L215" i="28"/>
  <c r="L214" i="28"/>
  <c r="AA214" i="28"/>
  <c r="AA215" i="28"/>
  <c r="E133" i="28"/>
  <c r="L133" i="28" s="1"/>
  <c r="A133" i="28"/>
  <c r="AA133" i="28" s="1"/>
  <c r="B133" i="28"/>
  <c r="C133" i="28"/>
  <c r="L144" i="28"/>
  <c r="A147" i="28"/>
  <c r="B147" i="28"/>
  <c r="C147" i="28"/>
  <c r="A144" i="28"/>
  <c r="B144" i="28"/>
  <c r="C144" i="28"/>
  <c r="A145" i="28"/>
  <c r="B145" i="28"/>
  <c r="C145" i="28"/>
  <c r="A146" i="28"/>
  <c r="B146" i="28"/>
  <c r="C146" i="28"/>
  <c r="E116" i="28"/>
  <c r="L116" i="28" s="1"/>
  <c r="A116" i="28"/>
  <c r="AA116" i="28" s="1"/>
  <c r="B116" i="28"/>
  <c r="C116" i="28"/>
  <c r="E53" i="28"/>
  <c r="L53" i="28" s="1"/>
  <c r="B53" i="28"/>
  <c r="C53" i="28"/>
  <c r="A53" i="28"/>
  <c r="AA53" i="28" s="1"/>
  <c r="E60" i="28"/>
  <c r="L60" i="28" s="1"/>
  <c r="D25" i="93" s="1"/>
  <c r="A60" i="28"/>
  <c r="AA60" i="28" s="1"/>
  <c r="B60" i="28"/>
  <c r="C60" i="28"/>
  <c r="E195" i="28"/>
  <c r="L195" i="28" s="1"/>
  <c r="F8" i="89" s="1"/>
  <c r="C195" i="28"/>
  <c r="B195" i="28"/>
  <c r="A195" i="28"/>
  <c r="G39" i="88" l="1"/>
  <c r="B1" i="89"/>
  <c r="B7" i="89" l="1"/>
  <c r="B11" i="89"/>
  <c r="A3" i="89"/>
  <c r="B10" i="89"/>
  <c r="B6" i="89"/>
  <c r="B12" i="89" l="1"/>
  <c r="B8" i="89"/>
  <c r="B16" i="89"/>
  <c r="C4" i="88"/>
  <c r="G36" i="88"/>
  <c r="G42" i="88"/>
  <c r="F22" i="89" l="1"/>
  <c r="E254" i="28"/>
  <c r="E255" i="28"/>
  <c r="AA80" i="28"/>
  <c r="AA81" i="28"/>
  <c r="AA82" i="28"/>
  <c r="AA83" i="28"/>
  <c r="AA84" i="28"/>
  <c r="AA85" i="28"/>
  <c r="AA183" i="28"/>
  <c r="AA233" i="28"/>
  <c r="AA234" i="28"/>
  <c r="AA235" i="28"/>
  <c r="AA236" i="28"/>
  <c r="AA237" i="28"/>
  <c r="AA238" i="28"/>
  <c r="AA239" i="28"/>
  <c r="AA240" i="28"/>
  <c r="AA241" i="28"/>
  <c r="AB241" i="28"/>
  <c r="AA242" i="28"/>
  <c r="AB242" i="28"/>
  <c r="AA243" i="28"/>
  <c r="AB243" i="28"/>
  <c r="AA244" i="28"/>
  <c r="AB244" i="28"/>
  <c r="AA245" i="28"/>
  <c r="AB245" i="28"/>
  <c r="AA246" i="28"/>
  <c r="AB246" i="28"/>
  <c r="AA260" i="28"/>
  <c r="AB238" i="28"/>
  <c r="AB240" i="28" l="1"/>
  <c r="N15" i="88"/>
  <c r="AB239" i="28"/>
  <c r="N24" i="88"/>
  <c r="E204" i="1" l="1"/>
  <c r="E295" i="1" s="1"/>
  <c r="E191" i="1"/>
  <c r="E198" i="1"/>
  <c r="E294" i="1" s="1"/>
  <c r="E210" i="1"/>
  <c r="Y269" i="28"/>
  <c r="X267" i="28"/>
  <c r="X266" i="28"/>
  <c r="X269" i="28" s="1"/>
  <c r="Z269" i="28" s="1"/>
  <c r="E293" i="1" l="1"/>
  <c r="E296" i="1"/>
  <c r="E211" i="1"/>
  <c r="E297" i="1" s="1"/>
  <c r="E292" i="1" l="1"/>
  <c r="E299" i="1" s="1"/>
  <c r="A290" i="1"/>
  <c r="G114" i="1" l="1"/>
  <c r="G94" i="1"/>
  <c r="F286" i="1"/>
  <c r="E286" i="1"/>
  <c r="F284" i="1"/>
  <c r="E284" i="1"/>
  <c r="F283" i="1"/>
  <c r="E283" i="1"/>
  <c r="F282" i="1"/>
  <c r="E282" i="1"/>
  <c r="F281" i="1"/>
  <c r="E281" i="1"/>
  <c r="G11" i="1"/>
  <c r="G78" i="1" l="1"/>
  <c r="C251" i="28" l="1"/>
  <c r="E210" i="28" l="1"/>
  <c r="L226" i="28"/>
  <c r="AA226" i="28"/>
  <c r="AB226" i="28" l="1"/>
  <c r="G234" i="1"/>
  <c r="E248" i="28" l="1"/>
  <c r="E251" i="28" l="1"/>
  <c r="L257" i="28" l="1"/>
  <c r="AA257" i="28"/>
  <c r="AB257" i="28" l="1"/>
  <c r="G155" i="1"/>
  <c r="G138" i="1"/>
  <c r="G135" i="1" l="1"/>
  <c r="E209" i="28" l="1"/>
  <c r="C209" i="28"/>
  <c r="A209" i="28"/>
  <c r="AA209" i="28" s="1"/>
  <c r="L209" i="28" l="1"/>
  <c r="B17" i="89" l="1"/>
  <c r="B18" i="89" s="1"/>
  <c r="G16" i="89" s="1"/>
  <c r="AB209" i="28"/>
  <c r="G183" i="1"/>
  <c r="L210" i="28" l="1"/>
  <c r="E34" i="88" s="1"/>
  <c r="H210" i="28"/>
  <c r="A210" i="28"/>
  <c r="AA210" i="28" s="1"/>
  <c r="C210" i="28"/>
  <c r="A194" i="28"/>
  <c r="AA194" i="28" s="1"/>
  <c r="B194" i="28"/>
  <c r="C194" i="28"/>
  <c r="E194" i="28"/>
  <c r="E153" i="28"/>
  <c r="E154" i="28"/>
  <c r="E155" i="28"/>
  <c r="B153" i="28"/>
  <c r="C153" i="28"/>
  <c r="B154" i="28"/>
  <c r="C154" i="28"/>
  <c r="B155" i="28"/>
  <c r="C155" i="28"/>
  <c r="A153" i="28"/>
  <c r="AA153" i="28" s="1"/>
  <c r="A154" i="28"/>
  <c r="AA154" i="28" s="1"/>
  <c r="A155" i="28"/>
  <c r="AA155" i="28" s="1"/>
  <c r="E118" i="28"/>
  <c r="A118" i="28"/>
  <c r="AA118" i="28" s="1"/>
  <c r="B118" i="28"/>
  <c r="C118" i="28"/>
  <c r="E55" i="28"/>
  <c r="E54" i="28"/>
  <c r="C55" i="28"/>
  <c r="C54" i="28"/>
  <c r="B55" i="28"/>
  <c r="B54" i="28"/>
  <c r="A55" i="28"/>
  <c r="AA55" i="28" s="1"/>
  <c r="A54" i="28"/>
  <c r="AA54" i="28" s="1"/>
  <c r="L213" i="28"/>
  <c r="L212" i="28"/>
  <c r="AA228" i="28"/>
  <c r="AA225" i="28"/>
  <c r="AA224" i="28"/>
  <c r="AA223" i="28"/>
  <c r="AA222" i="28"/>
  <c r="AA213" i="28"/>
  <c r="AA212" i="28"/>
  <c r="G34" i="88" l="1"/>
  <c r="AB212" i="28"/>
  <c r="AB210" i="28"/>
  <c r="AB213" i="28"/>
  <c r="L194" i="28"/>
  <c r="F16" i="89" s="1"/>
  <c r="L155" i="28"/>
  <c r="L154" i="28"/>
  <c r="AB154" i="28" s="1"/>
  <c r="L153" i="28"/>
  <c r="L118" i="28"/>
  <c r="AB118" i="28" s="1"/>
  <c r="L54" i="28"/>
  <c r="L55" i="28"/>
  <c r="AB55" i="28" s="1"/>
  <c r="L225" i="28"/>
  <c r="E46" i="88" s="1"/>
  <c r="G46" i="88" s="1"/>
  <c r="L228" i="28"/>
  <c r="L221" i="28"/>
  <c r="L222" i="28"/>
  <c r="L223" i="28"/>
  <c r="L224" i="28"/>
  <c r="E32" i="88" l="1"/>
  <c r="E38" i="88"/>
  <c r="G38" i="88" s="1"/>
  <c r="AB153" i="28"/>
  <c r="AB228" i="28"/>
  <c r="AB224" i="28"/>
  <c r="AB223" i="28"/>
  <c r="F27" i="89"/>
  <c r="F28" i="89" s="1"/>
  <c r="AB222" i="28"/>
  <c r="AB225" i="28"/>
  <c r="AB54" i="28"/>
  <c r="AB194" i="28"/>
  <c r="AB155" i="28"/>
  <c r="E253" i="28" l="1"/>
  <c r="L254" i="28"/>
  <c r="AB254" i="28" s="1"/>
  <c r="L255" i="28"/>
  <c r="AB255" i="28" s="1"/>
  <c r="E256" i="28"/>
  <c r="E252" i="28"/>
  <c r="A253" i="28"/>
  <c r="AA253" i="28" s="1"/>
  <c r="A254" i="28"/>
  <c r="AA254" i="28" s="1"/>
  <c r="A255" i="28"/>
  <c r="AA255" i="28" s="1"/>
  <c r="A256" i="28"/>
  <c r="AA256" i="28" s="1"/>
  <c r="A252" i="28"/>
  <c r="AA252" i="28" s="1"/>
  <c r="F251" i="28"/>
  <c r="G270" i="1"/>
  <c r="F248" i="28" s="1"/>
  <c r="G271" i="1"/>
  <c r="F249" i="28" s="1"/>
  <c r="G272" i="1"/>
  <c r="F250" i="28" s="1"/>
  <c r="G269" i="1"/>
  <c r="F247" i="28" s="1"/>
  <c r="L256" i="28" l="1"/>
  <c r="AB256" i="28" s="1"/>
  <c r="L253" i="28"/>
  <c r="AB253" i="28" s="1"/>
  <c r="L252" i="28"/>
  <c r="AB252" i="28" s="1"/>
  <c r="C253" i="28"/>
  <c r="C254" i="28"/>
  <c r="C256" i="28"/>
  <c r="C252" i="28"/>
  <c r="G224" i="1" l="1"/>
  <c r="G111" i="1"/>
  <c r="G21" i="1"/>
  <c r="F256" i="28"/>
  <c r="F255" i="28"/>
  <c r="F254" i="28"/>
  <c r="F253" i="28"/>
  <c r="F252" i="28"/>
  <c r="G101" i="1" l="1"/>
  <c r="G120" i="1" l="1"/>
  <c r="G119" i="1"/>
  <c r="G118" i="1"/>
  <c r="G117" i="1"/>
  <c r="G116" i="1"/>
  <c r="G115" i="1"/>
  <c r="G109" i="1"/>
  <c r="G99" i="1"/>
  <c r="G98" i="1"/>
  <c r="G97" i="1"/>
  <c r="G96" i="1"/>
  <c r="G95" i="1"/>
  <c r="D3" i="1" l="1"/>
  <c r="B2" i="89" l="1"/>
  <c r="C5" i="88"/>
  <c r="L4" i="28"/>
  <c r="L19" i="88" l="1"/>
  <c r="L28" i="88"/>
  <c r="M28" i="88"/>
  <c r="M19" i="88"/>
  <c r="L27" i="88"/>
  <c r="Q25" i="88"/>
  <c r="M25" i="88" s="1"/>
  <c r="L15" i="88"/>
  <c r="P25" i="88"/>
  <c r="L25" i="88" s="1"/>
  <c r="P16" i="88"/>
  <c r="L16" i="88" s="1"/>
  <c r="M24" i="88"/>
  <c r="Q16" i="88"/>
  <c r="M16" i="88" s="1"/>
  <c r="M15" i="88"/>
  <c r="M21" i="88"/>
  <c r="D21" i="88" s="1"/>
  <c r="L11" i="88"/>
  <c r="L24" i="88"/>
  <c r="L21" i="88"/>
  <c r="C21" i="88" s="1"/>
  <c r="M11" i="88"/>
  <c r="M18" i="88"/>
  <c r="M27" i="88"/>
  <c r="L18" i="88"/>
  <c r="D18" i="88" l="1"/>
  <c r="D28" i="88"/>
  <c r="D27" i="88"/>
  <c r="C28" i="88"/>
  <c r="C18" i="88"/>
  <c r="C19" i="88"/>
  <c r="C27" i="88"/>
  <c r="D19" i="88"/>
  <c r="N202" i="28"/>
  <c r="E198" i="28"/>
  <c r="L198" i="28" l="1"/>
  <c r="AB198" i="28" s="1"/>
  <c r="C258" i="28"/>
  <c r="B258" i="28"/>
  <c r="A258" i="28"/>
  <c r="A251" i="28"/>
  <c r="AA251" i="28" s="1"/>
  <c r="E250" i="28"/>
  <c r="C250" i="28"/>
  <c r="A250" i="28"/>
  <c r="AA250" i="28" s="1"/>
  <c r="E249" i="28"/>
  <c r="C249" i="28"/>
  <c r="A249" i="28"/>
  <c r="AA249" i="28" s="1"/>
  <c r="C248" i="28"/>
  <c r="A248" i="28"/>
  <c r="AA248" i="28" s="1"/>
  <c r="E247" i="28"/>
  <c r="C247" i="28"/>
  <c r="A247" i="28"/>
  <c r="AA247" i="28" s="1"/>
  <c r="H211" i="28"/>
  <c r="E211" i="28"/>
  <c r="C211" i="28"/>
  <c r="A211" i="28"/>
  <c r="AA211" i="28" s="1"/>
  <c r="E208" i="28"/>
  <c r="C208" i="28"/>
  <c r="A208" i="28"/>
  <c r="AA208" i="28" s="1"/>
  <c r="H207" i="28"/>
  <c r="E207" i="28"/>
  <c r="C207" i="28"/>
  <c r="B207" i="28"/>
  <c r="A207" i="28"/>
  <c r="AA207" i="28" s="1"/>
  <c r="H206" i="28"/>
  <c r="E206" i="28"/>
  <c r="C206" i="28"/>
  <c r="B206" i="28"/>
  <c r="A206" i="28"/>
  <c r="AA206" i="28" s="1"/>
  <c r="E205" i="28"/>
  <c r="C205" i="28"/>
  <c r="B205" i="28"/>
  <c r="A205" i="28"/>
  <c r="AA205" i="28" s="1"/>
  <c r="E204" i="28"/>
  <c r="C204" i="28"/>
  <c r="B204" i="28"/>
  <c r="A204" i="28"/>
  <c r="AA204" i="28" s="1"/>
  <c r="E203" i="28"/>
  <c r="C203" i="28"/>
  <c r="B203" i="28"/>
  <c r="A203" i="28"/>
  <c r="AA203" i="28" s="1"/>
  <c r="E202" i="28"/>
  <c r="C202" i="28"/>
  <c r="B202" i="28"/>
  <c r="A202" i="28"/>
  <c r="AA202" i="28" s="1"/>
  <c r="E201" i="28"/>
  <c r="C201" i="28"/>
  <c r="B201" i="28"/>
  <c r="A201" i="28"/>
  <c r="AA201" i="28" s="1"/>
  <c r="E200" i="28"/>
  <c r="C200" i="28"/>
  <c r="B200" i="28"/>
  <c r="A200" i="28"/>
  <c r="AA200" i="28" s="1"/>
  <c r="E199" i="28"/>
  <c r="C199" i="28"/>
  <c r="B199" i="28"/>
  <c r="A199" i="28"/>
  <c r="AA199" i="28" s="1"/>
  <c r="C198" i="28"/>
  <c r="B198" i="28"/>
  <c r="A198" i="28"/>
  <c r="AA198" i="28" s="1"/>
  <c r="E197" i="28"/>
  <c r="C197" i="28"/>
  <c r="B197" i="28"/>
  <c r="A197" i="28"/>
  <c r="AA197" i="28" s="1"/>
  <c r="E196" i="28"/>
  <c r="C196" i="28"/>
  <c r="B196" i="28"/>
  <c r="A196" i="28"/>
  <c r="AA196" i="28" s="1"/>
  <c r="E193" i="28"/>
  <c r="C193" i="28"/>
  <c r="B193" i="28"/>
  <c r="A193" i="28"/>
  <c r="AA193" i="28" s="1"/>
  <c r="E192" i="28"/>
  <c r="C192" i="28"/>
  <c r="B192" i="28"/>
  <c r="A192" i="28"/>
  <c r="AA192" i="28" s="1"/>
  <c r="E188" i="28"/>
  <c r="C188" i="28"/>
  <c r="B188" i="28"/>
  <c r="A188" i="28"/>
  <c r="AA188" i="28" s="1"/>
  <c r="E187" i="28"/>
  <c r="C187" i="28"/>
  <c r="B187" i="28"/>
  <c r="A187" i="28"/>
  <c r="AA187" i="28" s="1"/>
  <c r="E186" i="28"/>
  <c r="C186" i="28"/>
  <c r="B186" i="28"/>
  <c r="A186" i="28"/>
  <c r="AA186" i="28" s="1"/>
  <c r="E185" i="28"/>
  <c r="C185" i="28"/>
  <c r="B185" i="28"/>
  <c r="A185" i="28"/>
  <c r="AA185" i="28" s="1"/>
  <c r="E184" i="28"/>
  <c r="C184" i="28"/>
  <c r="B184" i="28"/>
  <c r="A184" i="28"/>
  <c r="AA184" i="28" s="1"/>
  <c r="E183" i="28"/>
  <c r="C183" i="28"/>
  <c r="E182" i="28"/>
  <c r="C182" i="28"/>
  <c r="B182" i="28"/>
  <c r="A182" i="28"/>
  <c r="AA182" i="28" s="1"/>
  <c r="E181" i="28"/>
  <c r="C181" i="28"/>
  <c r="B181" i="28"/>
  <c r="A181" i="28"/>
  <c r="AA181" i="28" s="1"/>
  <c r="E180" i="28"/>
  <c r="C180" i="28"/>
  <c r="B180" i="28"/>
  <c r="A180" i="28"/>
  <c r="AA180" i="28" s="1"/>
  <c r="E179" i="28"/>
  <c r="C179" i="28"/>
  <c r="B179" i="28"/>
  <c r="A179" i="28"/>
  <c r="AA179" i="28" s="1"/>
  <c r="C178" i="28"/>
  <c r="B178" i="28"/>
  <c r="A178" i="28"/>
  <c r="AA178" i="28" s="1"/>
  <c r="E177" i="28"/>
  <c r="C177" i="28"/>
  <c r="B177" i="28"/>
  <c r="A177" i="28"/>
  <c r="AA177" i="28" s="1"/>
  <c r="E176" i="28"/>
  <c r="C176" i="28"/>
  <c r="B176" i="28"/>
  <c r="A176" i="28"/>
  <c r="AA176" i="28" s="1"/>
  <c r="E175" i="28"/>
  <c r="C175" i="28"/>
  <c r="B175" i="28"/>
  <c r="A175" i="28"/>
  <c r="AA175" i="28" s="1"/>
  <c r="E174" i="28"/>
  <c r="C174" i="28"/>
  <c r="B174" i="28"/>
  <c r="A174" i="28"/>
  <c r="AA174" i="28" s="1"/>
  <c r="E173" i="28"/>
  <c r="C173" i="28"/>
  <c r="B173" i="28"/>
  <c r="A173" i="28"/>
  <c r="AA173" i="28" s="1"/>
  <c r="E172" i="28"/>
  <c r="C172" i="28"/>
  <c r="B172" i="28"/>
  <c r="A172" i="28"/>
  <c r="AA172" i="28" s="1"/>
  <c r="E171" i="28"/>
  <c r="C171" i="28"/>
  <c r="B171" i="28"/>
  <c r="A171" i="28"/>
  <c r="AA171" i="28" s="1"/>
  <c r="E170" i="28"/>
  <c r="C170" i="28"/>
  <c r="B170" i="28"/>
  <c r="A170" i="28"/>
  <c r="AA170" i="28" s="1"/>
  <c r="E169" i="28"/>
  <c r="C169" i="28"/>
  <c r="B169" i="28"/>
  <c r="A169" i="28"/>
  <c r="AA169" i="28" s="1"/>
  <c r="E168" i="28"/>
  <c r="C168" i="28"/>
  <c r="B168" i="28"/>
  <c r="A168" i="28"/>
  <c r="AA168" i="28" s="1"/>
  <c r="E167" i="28"/>
  <c r="C167" i="28"/>
  <c r="B167" i="28"/>
  <c r="A167" i="28"/>
  <c r="AA167" i="28" s="1"/>
  <c r="E166" i="28"/>
  <c r="C166" i="28"/>
  <c r="B166" i="28"/>
  <c r="A166" i="28"/>
  <c r="AA166" i="28" s="1"/>
  <c r="E165" i="28"/>
  <c r="C165" i="28"/>
  <c r="B165" i="28"/>
  <c r="A165" i="28"/>
  <c r="AA165" i="28" s="1"/>
  <c r="E164" i="28"/>
  <c r="C164" i="28"/>
  <c r="B164" i="28"/>
  <c r="A164" i="28"/>
  <c r="AA164" i="28" s="1"/>
  <c r="E163" i="28"/>
  <c r="C163" i="28"/>
  <c r="B163" i="28"/>
  <c r="A163" i="28"/>
  <c r="AA163" i="28" s="1"/>
  <c r="E162" i="28"/>
  <c r="C162" i="28"/>
  <c r="B162" i="28"/>
  <c r="A162" i="28"/>
  <c r="AA162" i="28" s="1"/>
  <c r="E161" i="28"/>
  <c r="C161" i="28"/>
  <c r="B161" i="28"/>
  <c r="A161" i="28"/>
  <c r="AA161" i="28" s="1"/>
  <c r="E160" i="28"/>
  <c r="C160" i="28"/>
  <c r="B160" i="28"/>
  <c r="A160" i="28"/>
  <c r="AA160" i="28" s="1"/>
  <c r="E159" i="28"/>
  <c r="C159" i="28"/>
  <c r="B159" i="28"/>
  <c r="A159" i="28"/>
  <c r="AA159" i="28" s="1"/>
  <c r="E158" i="28"/>
  <c r="C158" i="28"/>
  <c r="B158" i="28"/>
  <c r="A158" i="28"/>
  <c r="AA158" i="28" s="1"/>
  <c r="C157" i="28"/>
  <c r="B157" i="28"/>
  <c r="A157" i="28"/>
  <c r="AA157" i="28" s="1"/>
  <c r="C156" i="28"/>
  <c r="B156" i="28"/>
  <c r="A156" i="28"/>
  <c r="AA156" i="28" s="1"/>
  <c r="E152" i="28"/>
  <c r="C152" i="28"/>
  <c r="B152" i="28"/>
  <c r="A152" i="28"/>
  <c r="AA152" i="28" s="1"/>
  <c r="E151" i="28"/>
  <c r="C151" i="28"/>
  <c r="B151" i="28"/>
  <c r="A151" i="28"/>
  <c r="AA151" i="28" s="1"/>
  <c r="E150" i="28"/>
  <c r="C150" i="28"/>
  <c r="B150" i="28"/>
  <c r="A150" i="28"/>
  <c r="AA150" i="28" s="1"/>
  <c r="E149" i="28"/>
  <c r="C149" i="28"/>
  <c r="B149" i="28"/>
  <c r="A149" i="28"/>
  <c r="AA149" i="28" s="1"/>
  <c r="E148" i="28"/>
  <c r="C148" i="28"/>
  <c r="B148" i="28"/>
  <c r="A148" i="28"/>
  <c r="AA148" i="28" s="1"/>
  <c r="E143" i="28"/>
  <c r="C143" i="28"/>
  <c r="B143" i="28"/>
  <c r="A143" i="28"/>
  <c r="AA143" i="28" s="1"/>
  <c r="E142" i="28"/>
  <c r="C142" i="28"/>
  <c r="B142" i="28"/>
  <c r="A142" i="28"/>
  <c r="AA142" i="28" s="1"/>
  <c r="E141" i="28"/>
  <c r="C141" i="28"/>
  <c r="B141" i="28"/>
  <c r="A141" i="28"/>
  <c r="AA141" i="28" s="1"/>
  <c r="E140" i="28"/>
  <c r="C140" i="28"/>
  <c r="B140" i="28"/>
  <c r="A140" i="28"/>
  <c r="AA140" i="28" s="1"/>
  <c r="E139" i="28"/>
  <c r="C139" i="28"/>
  <c r="B139" i="28"/>
  <c r="A139" i="28"/>
  <c r="AA139" i="28" s="1"/>
  <c r="E138" i="28"/>
  <c r="C138" i="28"/>
  <c r="B138" i="28"/>
  <c r="A138" i="28"/>
  <c r="AA138" i="28" s="1"/>
  <c r="E137" i="28"/>
  <c r="C137" i="28"/>
  <c r="B137" i="28"/>
  <c r="A137" i="28"/>
  <c r="AA137" i="28" s="1"/>
  <c r="E136" i="28"/>
  <c r="C136" i="28"/>
  <c r="B136" i="28"/>
  <c r="A136" i="28"/>
  <c r="AA136" i="28" s="1"/>
  <c r="E135" i="28"/>
  <c r="C135" i="28"/>
  <c r="B135" i="28"/>
  <c r="A135" i="28"/>
  <c r="AA135" i="28" s="1"/>
  <c r="E134" i="28"/>
  <c r="C134" i="28"/>
  <c r="B134" i="28"/>
  <c r="A134" i="28"/>
  <c r="AA134" i="28" s="1"/>
  <c r="E132" i="28"/>
  <c r="C132" i="28"/>
  <c r="B132" i="28"/>
  <c r="A132" i="28"/>
  <c r="AA132" i="28" s="1"/>
  <c r="E131" i="28"/>
  <c r="C131" i="28"/>
  <c r="B131" i="28"/>
  <c r="A131" i="28"/>
  <c r="AA131" i="28" s="1"/>
  <c r="E130" i="28"/>
  <c r="C130" i="28"/>
  <c r="B130" i="28"/>
  <c r="A130" i="28"/>
  <c r="AA130" i="28" s="1"/>
  <c r="E129" i="28"/>
  <c r="C129" i="28"/>
  <c r="B129" i="28"/>
  <c r="A129" i="28"/>
  <c r="AA129" i="28" s="1"/>
  <c r="E128" i="28"/>
  <c r="C128" i="28"/>
  <c r="B128" i="28"/>
  <c r="A128" i="28"/>
  <c r="AA128" i="28" s="1"/>
  <c r="E127" i="28"/>
  <c r="C127" i="28"/>
  <c r="B127" i="28"/>
  <c r="A127" i="28"/>
  <c r="AA127" i="28" s="1"/>
  <c r="E126" i="28"/>
  <c r="C126" i="28"/>
  <c r="B126" i="28"/>
  <c r="A126" i="28"/>
  <c r="AA126" i="28" s="1"/>
  <c r="E125" i="28"/>
  <c r="C125" i="28"/>
  <c r="B125" i="28"/>
  <c r="A125" i="28"/>
  <c r="AA125" i="28" s="1"/>
  <c r="E124" i="28"/>
  <c r="C124" i="28"/>
  <c r="B124" i="28"/>
  <c r="A124" i="28"/>
  <c r="AA124" i="28" s="1"/>
  <c r="E123" i="28"/>
  <c r="L123" i="28" s="1"/>
  <c r="C123" i="28"/>
  <c r="B123" i="28"/>
  <c r="A123" i="28"/>
  <c r="AA123" i="28" s="1"/>
  <c r="E122" i="28"/>
  <c r="L122" i="28" s="1"/>
  <c r="C122" i="28"/>
  <c r="B122" i="28"/>
  <c r="A122" i="28"/>
  <c r="AA122" i="28" s="1"/>
  <c r="E121" i="28"/>
  <c r="C121" i="28"/>
  <c r="B121" i="28"/>
  <c r="A121" i="28"/>
  <c r="AA121" i="28" s="1"/>
  <c r="E120" i="28"/>
  <c r="C120" i="28"/>
  <c r="B120" i="28"/>
  <c r="A120" i="28"/>
  <c r="AA120" i="28" s="1"/>
  <c r="E119" i="28"/>
  <c r="C119" i="28"/>
  <c r="B119" i="28"/>
  <c r="A119" i="28"/>
  <c r="AA119" i="28" s="1"/>
  <c r="E117" i="28"/>
  <c r="C117" i="28"/>
  <c r="B117" i="28"/>
  <c r="A117" i="28"/>
  <c r="AA117" i="28" s="1"/>
  <c r="E115" i="28"/>
  <c r="C115" i="28"/>
  <c r="B115" i="28"/>
  <c r="A115" i="28"/>
  <c r="AA115" i="28" s="1"/>
  <c r="E114" i="28"/>
  <c r="C114" i="28"/>
  <c r="B114" i="28"/>
  <c r="A114" i="28"/>
  <c r="AA114" i="28" s="1"/>
  <c r="E113" i="28"/>
  <c r="C113" i="28"/>
  <c r="B113" i="28"/>
  <c r="A113" i="28"/>
  <c r="AA113" i="28" s="1"/>
  <c r="E112" i="28"/>
  <c r="C112" i="28"/>
  <c r="B112" i="28"/>
  <c r="A112" i="28"/>
  <c r="AA112" i="28" s="1"/>
  <c r="E111" i="28"/>
  <c r="C111" i="28"/>
  <c r="B111" i="28"/>
  <c r="A111" i="28"/>
  <c r="AA111" i="28" s="1"/>
  <c r="E110" i="28"/>
  <c r="C110" i="28"/>
  <c r="B110" i="28"/>
  <c r="A110" i="28"/>
  <c r="AA110" i="28" s="1"/>
  <c r="E109" i="28"/>
  <c r="C109" i="28"/>
  <c r="B109" i="28"/>
  <c r="A109" i="28"/>
  <c r="AA109" i="28" s="1"/>
  <c r="E108" i="28"/>
  <c r="C108" i="28"/>
  <c r="B108" i="28"/>
  <c r="A108" i="28"/>
  <c r="AA108" i="28" s="1"/>
  <c r="E107" i="28"/>
  <c r="C107" i="28"/>
  <c r="B107" i="28"/>
  <c r="A107" i="28"/>
  <c r="AA107" i="28" s="1"/>
  <c r="E106" i="28"/>
  <c r="C106" i="28"/>
  <c r="B106" i="28"/>
  <c r="A106" i="28"/>
  <c r="AA106" i="28" s="1"/>
  <c r="E105" i="28"/>
  <c r="C105" i="28"/>
  <c r="B105" i="28"/>
  <c r="A105" i="28"/>
  <c r="AA105" i="28" s="1"/>
  <c r="E104" i="28"/>
  <c r="C104" i="28"/>
  <c r="B104" i="28"/>
  <c r="A104" i="28"/>
  <c r="AA104" i="28" s="1"/>
  <c r="E103" i="28"/>
  <c r="C103" i="28"/>
  <c r="B103" i="28"/>
  <c r="A103" i="28"/>
  <c r="AA103" i="28" s="1"/>
  <c r="E102" i="28"/>
  <c r="C102" i="28"/>
  <c r="B102" i="28"/>
  <c r="A102" i="28"/>
  <c r="AA102" i="28" s="1"/>
  <c r="E101" i="28"/>
  <c r="C101" i="28"/>
  <c r="B101" i="28"/>
  <c r="A101" i="28"/>
  <c r="AA101" i="28" s="1"/>
  <c r="E100" i="28"/>
  <c r="C100" i="28"/>
  <c r="B100" i="28"/>
  <c r="A100" i="28"/>
  <c r="AA100" i="28" s="1"/>
  <c r="C99" i="28"/>
  <c r="B99" i="28"/>
  <c r="A99" i="28"/>
  <c r="AA99" i="28" s="1"/>
  <c r="E98" i="28"/>
  <c r="C98" i="28"/>
  <c r="B98" i="28"/>
  <c r="A98" i="28"/>
  <c r="AA98" i="28" s="1"/>
  <c r="E97" i="28"/>
  <c r="C97" i="28"/>
  <c r="B97" i="28"/>
  <c r="A97" i="28"/>
  <c r="AA97" i="28" s="1"/>
  <c r="E96" i="28"/>
  <c r="C96" i="28"/>
  <c r="B96" i="28"/>
  <c r="A96" i="28"/>
  <c r="AA96" i="28" s="1"/>
  <c r="E95" i="28"/>
  <c r="C95" i="28"/>
  <c r="B95" i="28"/>
  <c r="A95" i="28"/>
  <c r="AA95" i="28" s="1"/>
  <c r="E94" i="28"/>
  <c r="C94" i="28"/>
  <c r="B94" i="28"/>
  <c r="A94" i="28"/>
  <c r="AA94" i="28" s="1"/>
  <c r="E93" i="28"/>
  <c r="C93" i="28"/>
  <c r="B93" i="28"/>
  <c r="A93" i="28"/>
  <c r="AA93" i="28" s="1"/>
  <c r="E92" i="28"/>
  <c r="C92" i="28"/>
  <c r="B92" i="28"/>
  <c r="A92" i="28"/>
  <c r="AA92" i="28" s="1"/>
  <c r="E91" i="28"/>
  <c r="C91" i="28"/>
  <c r="B91" i="28"/>
  <c r="A91" i="28"/>
  <c r="AA91" i="28" s="1"/>
  <c r="E90" i="28"/>
  <c r="C90" i="28"/>
  <c r="B90" i="28"/>
  <c r="A90" i="28"/>
  <c r="AA90" i="28" s="1"/>
  <c r="E89" i="28"/>
  <c r="C89" i="28"/>
  <c r="B89" i="28"/>
  <c r="A89" i="28"/>
  <c r="AA89" i="28" s="1"/>
  <c r="E88" i="28"/>
  <c r="C88" i="28"/>
  <c r="B88" i="28"/>
  <c r="A88" i="28"/>
  <c r="AA88" i="28" s="1"/>
  <c r="E87" i="28"/>
  <c r="C87" i="28"/>
  <c r="B87" i="28"/>
  <c r="A87" i="28"/>
  <c r="AA87" i="28" s="1"/>
  <c r="E86" i="28"/>
  <c r="C86" i="28"/>
  <c r="B86" i="28"/>
  <c r="A86" i="28"/>
  <c r="AA86" i="28" s="1"/>
  <c r="E85" i="28"/>
  <c r="C85" i="28"/>
  <c r="B85" i="28"/>
  <c r="E84" i="28"/>
  <c r="C84" i="28"/>
  <c r="B84" i="28"/>
  <c r="E83" i="28"/>
  <c r="C83" i="28"/>
  <c r="B83" i="28"/>
  <c r="E82" i="28"/>
  <c r="C82" i="28"/>
  <c r="B82" i="28"/>
  <c r="E81" i="28"/>
  <c r="C81" i="28"/>
  <c r="B81" i="28"/>
  <c r="C80" i="28"/>
  <c r="B80" i="28"/>
  <c r="E79" i="28"/>
  <c r="C79" i="28"/>
  <c r="B79" i="28"/>
  <c r="A79" i="28"/>
  <c r="AA79" i="28" s="1"/>
  <c r="E78" i="28"/>
  <c r="C78" i="28"/>
  <c r="B78" i="28"/>
  <c r="A78" i="28"/>
  <c r="AA78" i="28" s="1"/>
  <c r="E77" i="28"/>
  <c r="C77" i="28"/>
  <c r="B77" i="28"/>
  <c r="A77" i="28"/>
  <c r="AA77" i="28" s="1"/>
  <c r="E76" i="28"/>
  <c r="C76" i="28"/>
  <c r="B76" i="28"/>
  <c r="A76" i="28"/>
  <c r="AA76" i="28" s="1"/>
  <c r="E75" i="28"/>
  <c r="C75" i="28"/>
  <c r="B75" i="28"/>
  <c r="A75" i="28"/>
  <c r="AA75" i="28" s="1"/>
  <c r="E74" i="28"/>
  <c r="C74" i="28"/>
  <c r="B74" i="28"/>
  <c r="A74" i="28"/>
  <c r="AA74" i="28" s="1"/>
  <c r="E73" i="28"/>
  <c r="C73" i="28"/>
  <c r="B73" i="28"/>
  <c r="A73" i="28"/>
  <c r="AA73" i="28" s="1"/>
  <c r="E72" i="28"/>
  <c r="C72" i="28"/>
  <c r="B72" i="28"/>
  <c r="A72" i="28"/>
  <c r="AA72" i="28" s="1"/>
  <c r="E71" i="28"/>
  <c r="C71" i="28"/>
  <c r="A71" i="28"/>
  <c r="AA71" i="28" s="1"/>
  <c r="C70" i="28"/>
  <c r="B70" i="28"/>
  <c r="A70" i="28"/>
  <c r="AA70" i="28" s="1"/>
  <c r="E69" i="28"/>
  <c r="C69" i="28"/>
  <c r="B69" i="28"/>
  <c r="A69" i="28"/>
  <c r="AA69" i="28" s="1"/>
  <c r="E68" i="28"/>
  <c r="C68" i="28"/>
  <c r="B68" i="28"/>
  <c r="A68" i="28"/>
  <c r="AA68" i="28" s="1"/>
  <c r="E67" i="28"/>
  <c r="C67" i="28"/>
  <c r="B67" i="28"/>
  <c r="A67" i="28"/>
  <c r="AA67" i="28" s="1"/>
  <c r="E66" i="28"/>
  <c r="C66" i="28"/>
  <c r="B66" i="28"/>
  <c r="A66" i="28"/>
  <c r="AA66" i="28" s="1"/>
  <c r="E65" i="28"/>
  <c r="L65" i="28" s="1"/>
  <c r="C29" i="99" s="1"/>
  <c r="C65" i="28"/>
  <c r="B65" i="28"/>
  <c r="A65" i="28"/>
  <c r="AA65" i="28" s="1"/>
  <c r="E64" i="28"/>
  <c r="C64" i="28"/>
  <c r="B64" i="28"/>
  <c r="A64" i="28"/>
  <c r="AA64" i="28" s="1"/>
  <c r="E63" i="28"/>
  <c r="C63" i="28"/>
  <c r="B63" i="28"/>
  <c r="A63" i="28"/>
  <c r="AA63" i="28" s="1"/>
  <c r="E62" i="28"/>
  <c r="C62" i="28"/>
  <c r="B62" i="28"/>
  <c r="A62" i="28"/>
  <c r="AA62" i="28" s="1"/>
  <c r="E61" i="28"/>
  <c r="C61" i="28"/>
  <c r="B61" i="28"/>
  <c r="A61" i="28"/>
  <c r="AA61" i="28" s="1"/>
  <c r="E59" i="28"/>
  <c r="C59" i="28"/>
  <c r="B59" i="28"/>
  <c r="A59" i="28"/>
  <c r="AA59" i="28" s="1"/>
  <c r="E58" i="28"/>
  <c r="C58" i="28"/>
  <c r="B58" i="28"/>
  <c r="A58" i="28"/>
  <c r="AA58" i="28" s="1"/>
  <c r="E57" i="28"/>
  <c r="C57" i="28"/>
  <c r="B57" i="28"/>
  <c r="A57" i="28"/>
  <c r="AA57" i="28" s="1"/>
  <c r="E56" i="28"/>
  <c r="C56" i="28"/>
  <c r="B56" i="28"/>
  <c r="A56" i="28"/>
  <c r="AA56" i="28" s="1"/>
  <c r="E52" i="28"/>
  <c r="C52" i="28"/>
  <c r="B52" i="28"/>
  <c r="A52" i="28"/>
  <c r="AA52" i="28" s="1"/>
  <c r="E51" i="28"/>
  <c r="C51" i="28"/>
  <c r="B51" i="28"/>
  <c r="A51" i="28"/>
  <c r="AA51" i="28" s="1"/>
  <c r="E50" i="28"/>
  <c r="C50" i="28"/>
  <c r="B50" i="28"/>
  <c r="A50" i="28"/>
  <c r="AA50" i="28" s="1"/>
  <c r="E49" i="28"/>
  <c r="C49" i="28"/>
  <c r="B49" i="28"/>
  <c r="A49" i="28"/>
  <c r="AA49" i="28" s="1"/>
  <c r="E48" i="28"/>
  <c r="C48" i="28"/>
  <c r="B48" i="28"/>
  <c r="A48" i="28"/>
  <c r="AA48" i="28" s="1"/>
  <c r="E47" i="28"/>
  <c r="C47" i="28"/>
  <c r="B47" i="28"/>
  <c r="A47" i="28"/>
  <c r="AA47" i="28" s="1"/>
  <c r="E46" i="28"/>
  <c r="C46" i="28"/>
  <c r="B46" i="28"/>
  <c r="A46" i="28"/>
  <c r="AA46" i="28" s="1"/>
  <c r="E45" i="28"/>
  <c r="C45" i="28"/>
  <c r="B45" i="28"/>
  <c r="A45" i="28"/>
  <c r="AA45" i="28" s="1"/>
  <c r="E44" i="28"/>
  <c r="C44" i="28"/>
  <c r="B44" i="28"/>
  <c r="A44" i="28"/>
  <c r="AA44" i="28" s="1"/>
  <c r="E43" i="28"/>
  <c r="C43" i="28"/>
  <c r="B43" i="28"/>
  <c r="A43" i="28"/>
  <c r="AA43" i="28" s="1"/>
  <c r="E42" i="28"/>
  <c r="C42" i="28"/>
  <c r="B42" i="28"/>
  <c r="A42" i="28"/>
  <c r="AA42" i="28" s="1"/>
  <c r="E41" i="28"/>
  <c r="C41" i="28"/>
  <c r="B41" i="28"/>
  <c r="A41" i="28"/>
  <c r="AA41" i="28" s="1"/>
  <c r="E40" i="28"/>
  <c r="C40" i="28"/>
  <c r="B40" i="28"/>
  <c r="A40" i="28"/>
  <c r="AA40" i="28" s="1"/>
  <c r="E39" i="28"/>
  <c r="C39" i="28"/>
  <c r="B39" i="28"/>
  <c r="A39" i="28"/>
  <c r="AA39" i="28" s="1"/>
  <c r="E38" i="28"/>
  <c r="C38" i="28"/>
  <c r="B38" i="28"/>
  <c r="A38" i="28"/>
  <c r="AA38" i="28" s="1"/>
  <c r="E37" i="28"/>
  <c r="C37" i="28"/>
  <c r="B37" i="28"/>
  <c r="A37" i="28"/>
  <c r="AA37" i="28" s="1"/>
  <c r="E36" i="28"/>
  <c r="C36" i="28"/>
  <c r="B36" i="28"/>
  <c r="A36" i="28"/>
  <c r="AA36" i="28" s="1"/>
  <c r="E35" i="28"/>
  <c r="C35" i="28"/>
  <c r="B35" i="28"/>
  <c r="A35" i="28"/>
  <c r="AA35" i="28" s="1"/>
  <c r="H34" i="28"/>
  <c r="E34" i="28"/>
  <c r="C34" i="28"/>
  <c r="B34" i="28"/>
  <c r="A34" i="28"/>
  <c r="AA34" i="28" s="1"/>
  <c r="E33" i="28"/>
  <c r="C33" i="28"/>
  <c r="B33" i="28"/>
  <c r="A33" i="28"/>
  <c r="AA33" i="28" s="1"/>
  <c r="E32" i="28"/>
  <c r="C32" i="28"/>
  <c r="B32" i="28"/>
  <c r="A32" i="28"/>
  <c r="AA32" i="28" s="1"/>
  <c r="E31" i="28"/>
  <c r="C31" i="28"/>
  <c r="B31" i="28"/>
  <c r="A31" i="28"/>
  <c r="AA31" i="28" s="1"/>
  <c r="E30" i="28"/>
  <c r="C30" i="28"/>
  <c r="B30" i="28"/>
  <c r="A30" i="28"/>
  <c r="AA30" i="28" s="1"/>
  <c r="E29" i="28"/>
  <c r="C29" i="28"/>
  <c r="B29" i="28"/>
  <c r="A29" i="28"/>
  <c r="AA29" i="28" s="1"/>
  <c r="E28" i="28"/>
  <c r="C28" i="28"/>
  <c r="B28" i="28"/>
  <c r="A28" i="28"/>
  <c r="AA28" i="28" s="1"/>
  <c r="E27" i="28"/>
  <c r="C27" i="28"/>
  <c r="B27" i="28"/>
  <c r="A27" i="28"/>
  <c r="AA27" i="28" s="1"/>
  <c r="E26" i="28"/>
  <c r="C26" i="28"/>
  <c r="B26" i="28"/>
  <c r="A26" i="28"/>
  <c r="AA26" i="28" s="1"/>
  <c r="E25" i="28"/>
  <c r="C25" i="28"/>
  <c r="B25" i="28"/>
  <c r="A25" i="28"/>
  <c r="AA25" i="28" s="1"/>
  <c r="E24" i="28"/>
  <c r="C24" i="28"/>
  <c r="B24" i="28"/>
  <c r="A24" i="28"/>
  <c r="AA24" i="28" s="1"/>
  <c r="E23" i="28"/>
  <c r="C23" i="28"/>
  <c r="B23" i="28"/>
  <c r="A23" i="28"/>
  <c r="AA23" i="28" s="1"/>
  <c r="E22" i="28"/>
  <c r="C22" i="28"/>
  <c r="B22" i="28"/>
  <c r="A22" i="28"/>
  <c r="AA22" i="28" s="1"/>
  <c r="E21" i="28"/>
  <c r="C21" i="28"/>
  <c r="B21" i="28"/>
  <c r="A21" i="28"/>
  <c r="AA21" i="28" s="1"/>
  <c r="E20" i="28"/>
  <c r="C20" i="28"/>
  <c r="B20" i="28"/>
  <c r="A20" i="28"/>
  <c r="AA20" i="28" s="1"/>
  <c r="E19" i="28"/>
  <c r="C19" i="28"/>
  <c r="B19" i="28"/>
  <c r="A19" i="28"/>
  <c r="AA19" i="28" s="1"/>
  <c r="E18" i="28"/>
  <c r="C18" i="28"/>
  <c r="B18" i="28"/>
  <c r="A18" i="28"/>
  <c r="AA18" i="28" s="1"/>
  <c r="E17" i="28"/>
  <c r="C17" i="28"/>
  <c r="B17" i="28"/>
  <c r="A17" i="28"/>
  <c r="AA17" i="28" s="1"/>
  <c r="E16" i="28"/>
  <c r="C16" i="28"/>
  <c r="B16" i="28"/>
  <c r="A16" i="28"/>
  <c r="AA16" i="28" s="1"/>
  <c r="E15" i="28"/>
  <c r="C15" i="28"/>
  <c r="B15" i="28"/>
  <c r="A15" i="28"/>
  <c r="AA15" i="28" s="1"/>
  <c r="E14" i="28"/>
  <c r="C14" i="28"/>
  <c r="B14" i="28"/>
  <c r="A14" i="28"/>
  <c r="AA14" i="28" s="1"/>
  <c r="E13" i="28"/>
  <c r="C13" i="28"/>
  <c r="B13" i="28"/>
  <c r="A13" i="28"/>
  <c r="AA13" i="28" s="1"/>
  <c r="E12" i="28"/>
  <c r="C12" i="28"/>
  <c r="B12" i="28"/>
  <c r="A12" i="28"/>
  <c r="AA12" i="28" s="1"/>
  <c r="E11" i="28"/>
  <c r="C11" i="28"/>
  <c r="B11" i="28"/>
  <c r="A11" i="28"/>
  <c r="AA11" i="28" s="1"/>
  <c r="C10" i="28"/>
  <c r="B10" i="28"/>
  <c r="A10" i="28"/>
  <c r="AA10" i="28" s="1"/>
  <c r="E9" i="28"/>
  <c r="C9" i="28"/>
  <c r="B9" i="28"/>
  <c r="A9" i="28"/>
  <c r="AA9" i="28" s="1"/>
  <c r="E8" i="28"/>
  <c r="C8" i="28"/>
  <c r="B8" i="28"/>
  <c r="A8" i="28"/>
  <c r="AA8" i="28" s="1"/>
  <c r="G7" i="28"/>
  <c r="E7" i="28"/>
  <c r="C7" i="28"/>
  <c r="B7" i="28"/>
  <c r="A7" i="28"/>
  <c r="AA7" i="28" s="1"/>
  <c r="E6" i="28"/>
  <c r="C6" i="28"/>
  <c r="B6" i="28"/>
  <c r="A6" i="28"/>
  <c r="AA6" i="28" s="1"/>
  <c r="E5" i="28"/>
  <c r="C5" i="28"/>
  <c r="B5" i="28"/>
  <c r="A5" i="28"/>
  <c r="AA5" i="28" s="1"/>
  <c r="C2" i="28"/>
  <c r="G267" i="1"/>
  <c r="G263" i="1"/>
  <c r="H260" i="1"/>
  <c r="G260" i="1" s="1"/>
  <c r="H259" i="1"/>
  <c r="G259" i="1" s="1"/>
  <c r="H258" i="1"/>
  <c r="G258" i="1" s="1"/>
  <c r="G257" i="1"/>
  <c r="G256" i="1"/>
  <c r="G255" i="1"/>
  <c r="G254" i="1"/>
  <c r="G247" i="1"/>
  <c r="G243" i="1"/>
  <c r="G242" i="1"/>
  <c r="G238" i="1"/>
  <c r="H235" i="1"/>
  <c r="G235" i="1" s="1"/>
  <c r="H234" i="1"/>
  <c r="H233" i="1"/>
  <c r="G232" i="1"/>
  <c r="H229" i="1"/>
  <c r="G229" i="1" s="1"/>
  <c r="H228" i="1"/>
  <c r="G228" i="1"/>
  <c r="H227" i="1"/>
  <c r="G227" i="1"/>
  <c r="G226" i="1"/>
  <c r="G221" i="1"/>
  <c r="G220" i="1"/>
  <c r="G219" i="1"/>
  <c r="G218" i="1"/>
  <c r="G216" i="1"/>
  <c r="F210" i="1"/>
  <c r="G209" i="1"/>
  <c r="G208" i="1"/>
  <c r="G207" i="1"/>
  <c r="G206" i="1"/>
  <c r="F204" i="1"/>
  <c r="G203" i="1"/>
  <c r="G202" i="1"/>
  <c r="G201" i="1"/>
  <c r="G200" i="1"/>
  <c r="F198" i="1"/>
  <c r="E157" i="28"/>
  <c r="E156" i="28"/>
  <c r="G182" i="1"/>
  <c r="G177" i="1"/>
  <c r="G173" i="1"/>
  <c r="G166" i="1"/>
  <c r="G165" i="1"/>
  <c r="G162" i="1"/>
  <c r="G161" i="1"/>
  <c r="H154" i="1"/>
  <c r="G154" i="1" s="1"/>
  <c r="G153" i="1"/>
  <c r="G152" i="1"/>
  <c r="G150" i="1"/>
  <c r="G149" i="1"/>
  <c r="G148" i="1"/>
  <c r="G147" i="1"/>
  <c r="G146" i="1"/>
  <c r="G145" i="1"/>
  <c r="G144" i="1"/>
  <c r="G143" i="1"/>
  <c r="H137" i="1"/>
  <c r="G137" i="1" s="1"/>
  <c r="G136" i="1"/>
  <c r="G134" i="1"/>
  <c r="G132" i="1"/>
  <c r="G131" i="1"/>
  <c r="G129" i="1"/>
  <c r="G128" i="1"/>
  <c r="G127" i="1"/>
  <c r="H122" i="1"/>
  <c r="G122" i="1" s="1"/>
  <c r="G108" i="1"/>
  <c r="G106" i="1"/>
  <c r="G105" i="1"/>
  <c r="H103" i="1"/>
  <c r="G103" i="1"/>
  <c r="H138" i="1"/>
  <c r="E80" i="28"/>
  <c r="G92" i="1"/>
  <c r="G90" i="1"/>
  <c r="G72" i="28"/>
  <c r="G81" i="1"/>
  <c r="G79" i="1"/>
  <c r="H76" i="1"/>
  <c r="G76" i="1" s="1"/>
  <c r="G74" i="1"/>
  <c r="G71" i="1"/>
  <c r="G68" i="1"/>
  <c r="G67" i="1"/>
  <c r="H59" i="1"/>
  <c r="G59" i="1"/>
  <c r="H78" i="1"/>
  <c r="I78" i="1" s="1"/>
  <c r="G58" i="1"/>
  <c r="G57" i="1"/>
  <c r="G56" i="1"/>
  <c r="G55" i="1"/>
  <c r="G54" i="1"/>
  <c r="G53" i="1"/>
  <c r="G52" i="1"/>
  <c r="G51" i="1"/>
  <c r="G50" i="1"/>
  <c r="G49" i="1"/>
  <c r="G48" i="1"/>
  <c r="G47" i="1"/>
  <c r="G46" i="1"/>
  <c r="G44" i="1"/>
  <c r="G41" i="1"/>
  <c r="O34" i="28"/>
  <c r="H39" i="1"/>
  <c r="G39" i="1" s="1"/>
  <c r="O33" i="28"/>
  <c r="G37" i="1"/>
  <c r="G36" i="1"/>
  <c r="G35" i="1"/>
  <c r="G34" i="1"/>
  <c r="G33" i="1"/>
  <c r="G32" i="1"/>
  <c r="G31" i="1"/>
  <c r="G30" i="1"/>
  <c r="G28" i="1"/>
  <c r="G27" i="1"/>
  <c r="H25" i="1"/>
  <c r="G25" i="1" s="1"/>
  <c r="O21" i="28"/>
  <c r="O20" i="28"/>
  <c r="G22" i="1"/>
  <c r="G20" i="1"/>
  <c r="G13" i="1"/>
  <c r="G12" i="1"/>
  <c r="G10" i="1"/>
  <c r="G9" i="1"/>
  <c r="L260" i="28"/>
  <c r="AB260" i="28" s="1"/>
  <c r="I138" i="1" l="1"/>
  <c r="H121" i="28" s="1"/>
  <c r="H68" i="28"/>
  <c r="L247" i="28"/>
  <c r="AB247" i="28" s="1"/>
  <c r="L211" i="28"/>
  <c r="AB211" i="28" s="1"/>
  <c r="L207" i="28"/>
  <c r="AB207" i="28" s="1"/>
  <c r="L208" i="28"/>
  <c r="AB208" i="28" s="1"/>
  <c r="L203" i="28"/>
  <c r="L205" i="28"/>
  <c r="L202" i="28"/>
  <c r="AB202" i="28" s="1"/>
  <c r="L204" i="28"/>
  <c r="AB204" i="28" s="1"/>
  <c r="L206" i="28"/>
  <c r="AB206" i="28" s="1"/>
  <c r="L199" i="28"/>
  <c r="AB199" i="28" s="1"/>
  <c r="L201" i="28"/>
  <c r="AB201" i="28" s="1"/>
  <c r="L200" i="28"/>
  <c r="AB200" i="28" s="1"/>
  <c r="L196" i="28"/>
  <c r="L192" i="28"/>
  <c r="AB192" i="28" s="1"/>
  <c r="L188" i="28"/>
  <c r="AB188" i="28" s="1"/>
  <c r="L193" i="28"/>
  <c r="AB193" i="28" s="1"/>
  <c r="L187" i="28"/>
  <c r="AB187" i="28" s="1"/>
  <c r="L186" i="28"/>
  <c r="L185" i="28"/>
  <c r="L184" i="28"/>
  <c r="AB184" i="28" s="1"/>
  <c r="L183" i="28"/>
  <c r="AB183" i="28" s="1"/>
  <c r="L182" i="28"/>
  <c r="AB182" i="28" s="1"/>
  <c r="L180" i="28"/>
  <c r="AB180" i="28" s="1"/>
  <c r="L179" i="28"/>
  <c r="AB179" i="28" s="1"/>
  <c r="L181" i="28"/>
  <c r="AB181" i="28" s="1"/>
  <c r="L178" i="28"/>
  <c r="L177" i="28"/>
  <c r="AB177" i="28" s="1"/>
  <c r="L173" i="28"/>
  <c r="AB173" i="28" s="1"/>
  <c r="L175" i="28"/>
  <c r="AB175" i="28" s="1"/>
  <c r="L174" i="28"/>
  <c r="AB174" i="28" s="1"/>
  <c r="L176" i="28"/>
  <c r="AB176" i="28" s="1"/>
  <c r="L170" i="28"/>
  <c r="AB170" i="28" s="1"/>
  <c r="L172" i="28"/>
  <c r="AB172" i="28" s="1"/>
  <c r="L171" i="28"/>
  <c r="AB171" i="28" s="1"/>
  <c r="L167" i="28"/>
  <c r="AB167" i="28" s="1"/>
  <c r="L169" i="28"/>
  <c r="AB169" i="28" s="1"/>
  <c r="L166" i="28"/>
  <c r="L168" i="28"/>
  <c r="AB168" i="28" s="1"/>
  <c r="L162" i="28"/>
  <c r="AB162" i="28" s="1"/>
  <c r="L164" i="28"/>
  <c r="AB164" i="28" s="1"/>
  <c r="L163" i="28"/>
  <c r="AB163" i="28" s="1"/>
  <c r="L165" i="28"/>
  <c r="AB165" i="28" s="1"/>
  <c r="L159" i="28"/>
  <c r="AB159" i="28" s="1"/>
  <c r="L160" i="28"/>
  <c r="AB160" i="28" s="1"/>
  <c r="L158" i="28"/>
  <c r="AB158" i="28" s="1"/>
  <c r="L161" i="28"/>
  <c r="AB161" i="28" s="1"/>
  <c r="L157" i="28"/>
  <c r="L156" i="28"/>
  <c r="AB156" i="28" s="1"/>
  <c r="L152" i="28"/>
  <c r="AB152" i="28" s="1"/>
  <c r="L151" i="28"/>
  <c r="AB151" i="28" s="1"/>
  <c r="L150" i="28"/>
  <c r="AB150" i="28" s="1"/>
  <c r="L149" i="28"/>
  <c r="AB149" i="28" s="1"/>
  <c r="L148" i="28"/>
  <c r="AB148" i="28" s="1"/>
  <c r="L143" i="28"/>
  <c r="AB143" i="28" s="1"/>
  <c r="L142" i="28"/>
  <c r="L141" i="28"/>
  <c r="AB141" i="28" s="1"/>
  <c r="L139" i="28"/>
  <c r="AB139" i="28" s="1"/>
  <c r="L140" i="28"/>
  <c r="AB140" i="28" s="1"/>
  <c r="L138" i="28"/>
  <c r="L137" i="28"/>
  <c r="AB137" i="28" s="1"/>
  <c r="L136" i="28"/>
  <c r="AB136" i="28" s="1"/>
  <c r="L135" i="28"/>
  <c r="F7" i="89" s="1"/>
  <c r="F11" i="89" s="1"/>
  <c r="F18" i="89" s="1"/>
  <c r="L134" i="28"/>
  <c r="AB134" i="28" s="1"/>
  <c r="L132" i="28"/>
  <c r="AB132" i="28" s="1"/>
  <c r="L131" i="28"/>
  <c r="AB131" i="28" s="1"/>
  <c r="L130" i="28"/>
  <c r="AB130" i="28" s="1"/>
  <c r="L129" i="28"/>
  <c r="AB129" i="28" s="1"/>
  <c r="L128" i="28"/>
  <c r="AB128" i="28" s="1"/>
  <c r="L127" i="28"/>
  <c r="AB127" i="28" s="1"/>
  <c r="L126" i="28"/>
  <c r="AB126" i="28" s="1"/>
  <c r="L125" i="28"/>
  <c r="L124" i="28"/>
  <c r="AB124" i="28" s="1"/>
  <c r="AB122" i="28"/>
  <c r="L121" i="28"/>
  <c r="AB121" i="28" s="1"/>
  <c r="L120" i="28"/>
  <c r="AB120" i="28" s="1"/>
  <c r="L119" i="28"/>
  <c r="AB119" i="28" s="1"/>
  <c r="L117" i="28"/>
  <c r="AB117" i="28" s="1"/>
  <c r="L113" i="28"/>
  <c r="AB113" i="28" s="1"/>
  <c r="L115" i="28"/>
  <c r="AB115" i="28" s="1"/>
  <c r="L112" i="28"/>
  <c r="AB112" i="28" s="1"/>
  <c r="L114" i="28"/>
  <c r="L107" i="28"/>
  <c r="AB107" i="28" s="1"/>
  <c r="L111" i="28"/>
  <c r="L108" i="28"/>
  <c r="AB108" i="28" s="1"/>
  <c r="L110" i="28"/>
  <c r="AB110" i="28" s="1"/>
  <c r="L109" i="28"/>
  <c r="L103" i="28"/>
  <c r="AB103" i="28" s="1"/>
  <c r="L105" i="28"/>
  <c r="AB105" i="28" s="1"/>
  <c r="L104" i="28"/>
  <c r="AB104" i="28" s="1"/>
  <c r="L106" i="28"/>
  <c r="AB106" i="28" s="1"/>
  <c r="L102" i="28"/>
  <c r="AB102" i="28" s="1"/>
  <c r="L100" i="28"/>
  <c r="AB100" i="28" s="1"/>
  <c r="L101" i="28"/>
  <c r="AB101" i="28" s="1"/>
  <c r="L98" i="28"/>
  <c r="AB98" i="28" s="1"/>
  <c r="L95" i="28"/>
  <c r="AB95" i="28" s="1"/>
  <c r="L97" i="28"/>
  <c r="AB97" i="28" s="1"/>
  <c r="L94" i="28"/>
  <c r="L96" i="28"/>
  <c r="L90" i="28"/>
  <c r="L92" i="28"/>
  <c r="AB92" i="28" s="1"/>
  <c r="L93" i="28"/>
  <c r="AB93" i="28" s="1"/>
  <c r="L91" i="28"/>
  <c r="AB91" i="28" s="1"/>
  <c r="L88" i="28"/>
  <c r="AB88" i="28" s="1"/>
  <c r="L87" i="28"/>
  <c r="AB87" i="28" s="1"/>
  <c r="L89" i="28"/>
  <c r="AB89" i="28" s="1"/>
  <c r="L86" i="28"/>
  <c r="AB86" i="28" s="1"/>
  <c r="L84" i="28"/>
  <c r="AB84" i="28" s="1"/>
  <c r="L85" i="28"/>
  <c r="AB85" i="28" s="1"/>
  <c r="L83" i="28"/>
  <c r="AB83" i="28" s="1"/>
  <c r="L82" i="28"/>
  <c r="L81" i="28"/>
  <c r="AB81" i="28" s="1"/>
  <c r="L79" i="28"/>
  <c r="AB79" i="28" s="1"/>
  <c r="L78" i="28"/>
  <c r="AB78" i="28" s="1"/>
  <c r="L80" i="28"/>
  <c r="L77" i="28"/>
  <c r="AB77" i="28" s="1"/>
  <c r="L76" i="28"/>
  <c r="L75" i="28"/>
  <c r="AB75" i="28" s="1"/>
  <c r="L72" i="28"/>
  <c r="L74" i="28"/>
  <c r="L71" i="28"/>
  <c r="AB71" i="28" s="1"/>
  <c r="L73" i="28"/>
  <c r="AB73" i="28" s="1"/>
  <c r="L69" i="28"/>
  <c r="D8" i="93" s="1"/>
  <c r="L68" i="28"/>
  <c r="AB68" i="28" s="1"/>
  <c r="L67" i="28"/>
  <c r="L66" i="28"/>
  <c r="AB66" i="28" s="1"/>
  <c r="L62" i="28"/>
  <c r="L64" i="28"/>
  <c r="C31" i="99" s="1"/>
  <c r="E31" i="99" s="1"/>
  <c r="L61" i="28"/>
  <c r="AB61" i="28" s="1"/>
  <c r="L63" i="28"/>
  <c r="C30" i="99" s="1"/>
  <c r="E30" i="99" s="1"/>
  <c r="L58" i="28"/>
  <c r="L57" i="28"/>
  <c r="AB57" i="28" s="1"/>
  <c r="L59" i="28"/>
  <c r="C26" i="99" s="1"/>
  <c r="L56" i="28"/>
  <c r="AB56" i="28" s="1"/>
  <c r="L50" i="28"/>
  <c r="AB50" i="28" s="1"/>
  <c r="L52" i="28"/>
  <c r="AB52" i="28" s="1"/>
  <c r="L51" i="28"/>
  <c r="C14" i="99" s="1"/>
  <c r="L47" i="28"/>
  <c r="C17" i="99" s="1"/>
  <c r="L49" i="28"/>
  <c r="AB49" i="28" s="1"/>
  <c r="L48" i="28"/>
  <c r="D9" i="93" s="1"/>
  <c r="L46" i="28"/>
  <c r="C20" i="99" s="1"/>
  <c r="L44" i="28"/>
  <c r="C11" i="99" s="1"/>
  <c r="E11" i="99" s="1"/>
  <c r="L43" i="28"/>
  <c r="C9" i="99" s="1"/>
  <c r="E9" i="99" s="1"/>
  <c r="L45" i="28"/>
  <c r="AB45" i="28" s="1"/>
  <c r="L42" i="28"/>
  <c r="AB42" i="28" s="1"/>
  <c r="L39" i="28"/>
  <c r="C8" i="99" s="1"/>
  <c r="L41" i="28"/>
  <c r="AB41" i="28" s="1"/>
  <c r="L38" i="28"/>
  <c r="C7" i="99" s="1"/>
  <c r="E7" i="99" s="1"/>
  <c r="L40" i="28"/>
  <c r="AB40" i="28" s="1"/>
  <c r="L37" i="28"/>
  <c r="AB37" i="28" s="1"/>
  <c r="L36" i="28"/>
  <c r="AB36" i="28" s="1"/>
  <c r="L29" i="28"/>
  <c r="AB29" i="28" s="1"/>
  <c r="L26" i="28"/>
  <c r="AB26" i="28" s="1"/>
  <c r="L34" i="28"/>
  <c r="AB34" i="28" s="1"/>
  <c r="L31" i="28"/>
  <c r="AB31" i="28" s="1"/>
  <c r="L28" i="28"/>
  <c r="AB28" i="28" s="1"/>
  <c r="L25" i="28"/>
  <c r="AB25" i="28" s="1"/>
  <c r="L33" i="28"/>
  <c r="AB33" i="28" s="1"/>
  <c r="L30" i="28"/>
  <c r="AB30" i="28" s="1"/>
  <c r="L27" i="28"/>
  <c r="AB27" i="28" s="1"/>
  <c r="L35" i="28"/>
  <c r="AB35" i="28" s="1"/>
  <c r="L24" i="28"/>
  <c r="AB24" i="28" s="1"/>
  <c r="L32" i="28"/>
  <c r="AB32" i="28" s="1"/>
  <c r="L23" i="28"/>
  <c r="AB23" i="28" s="1"/>
  <c r="L22" i="28"/>
  <c r="AB22" i="28" s="1"/>
  <c r="L21" i="28"/>
  <c r="AB21" i="28" s="1"/>
  <c r="L20" i="28"/>
  <c r="AB20" i="28" s="1"/>
  <c r="L19" i="28"/>
  <c r="AB19" i="28" s="1"/>
  <c r="L18" i="28"/>
  <c r="AB18" i="28" s="1"/>
  <c r="L16" i="28"/>
  <c r="AB16" i="28" s="1"/>
  <c r="L15" i="28"/>
  <c r="AB15" i="28" s="1"/>
  <c r="L14" i="28"/>
  <c r="AB14" i="28" s="1"/>
  <c r="L13" i="28"/>
  <c r="AB13" i="28" s="1"/>
  <c r="L12" i="28"/>
  <c r="AB12" i="28" s="1"/>
  <c r="L11" i="28"/>
  <c r="AB11" i="28" s="1"/>
  <c r="L9" i="28"/>
  <c r="AB9" i="28" s="1"/>
  <c r="L8" i="28"/>
  <c r="AB8" i="28" s="1"/>
  <c r="L6" i="28"/>
  <c r="AB6" i="28" s="1"/>
  <c r="L5" i="28"/>
  <c r="L197" i="28"/>
  <c r="AB197" i="28" s="1"/>
  <c r="L7" i="28"/>
  <c r="AB7" i="28" s="1"/>
  <c r="L17" i="28"/>
  <c r="O107" i="28"/>
  <c r="L249" i="28"/>
  <c r="AB249" i="28" s="1"/>
  <c r="L250" i="28"/>
  <c r="AB250" i="28" s="1"/>
  <c r="L248" i="28"/>
  <c r="AB248" i="28" s="1"/>
  <c r="L251" i="28"/>
  <c r="AB251" i="28" s="1"/>
  <c r="E99" i="28"/>
  <c r="E10" i="28"/>
  <c r="L10" i="28" s="1"/>
  <c r="G14" i="1"/>
  <c r="G15" i="1"/>
  <c r="G16" i="1"/>
  <c r="G17" i="1"/>
  <c r="G18" i="1"/>
  <c r="G19" i="1"/>
  <c r="E70" i="28"/>
  <c r="O89" i="28"/>
  <c r="O51" i="28"/>
  <c r="O19" i="28"/>
  <c r="F9" i="28"/>
  <c r="H137" i="28"/>
  <c r="F191" i="1"/>
  <c r="F211" i="1" s="1"/>
  <c r="N21" i="88" l="1"/>
  <c r="E21" i="88" s="1"/>
  <c r="G21" i="88" s="1"/>
  <c r="AB166" i="28"/>
  <c r="N19" i="88"/>
  <c r="E19" i="88" s="1"/>
  <c r="G19" i="88" s="1"/>
  <c r="N28" i="88"/>
  <c r="E28" i="88" s="1"/>
  <c r="G28" i="88" s="1"/>
  <c r="C10" i="99"/>
  <c r="E10" i="99" s="1"/>
  <c r="E12" i="99" s="1"/>
  <c r="D12" i="93"/>
  <c r="L9" i="88"/>
  <c r="E29" i="99"/>
  <c r="C28" i="99"/>
  <c r="E28" i="99" s="1"/>
  <c r="E26" i="99"/>
  <c r="AB157" i="28"/>
  <c r="N11" i="88"/>
  <c r="D11" i="93"/>
  <c r="AB64" i="28"/>
  <c r="D24" i="93"/>
  <c r="AB46" i="28"/>
  <c r="D18" i="93"/>
  <c r="D13" i="93"/>
  <c r="D21" i="93"/>
  <c r="D6" i="93"/>
  <c r="AB39" i="28"/>
  <c r="D7" i="93"/>
  <c r="AB47" i="28"/>
  <c r="AB65" i="28"/>
  <c r="D22" i="93"/>
  <c r="G14" i="88"/>
  <c r="D23" i="93"/>
  <c r="AB72" i="28"/>
  <c r="AB82" i="28"/>
  <c r="AB109" i="28"/>
  <c r="N18" i="88"/>
  <c r="E18" i="88" s="1"/>
  <c r="G18" i="88" s="1"/>
  <c r="AB125" i="28"/>
  <c r="N27" i="88"/>
  <c r="E27" i="88" s="1"/>
  <c r="G27" i="88" s="1"/>
  <c r="AB76" i="28"/>
  <c r="N16" i="88"/>
  <c r="G16" i="88" s="1"/>
  <c r="AB5" i="28"/>
  <c r="AB90" i="28"/>
  <c r="AB114" i="28"/>
  <c r="M20" i="88"/>
  <c r="N20" i="88" s="1"/>
  <c r="E20" i="88" s="1"/>
  <c r="G20" i="88" s="1"/>
  <c r="AB62" i="28"/>
  <c r="AB196" i="28"/>
  <c r="AB63" i="28"/>
  <c r="AB44" i="28"/>
  <c r="AB48" i="28"/>
  <c r="AB17" i="28"/>
  <c r="AB178" i="28"/>
  <c r="F24" i="89"/>
  <c r="L236" i="28"/>
  <c r="AB236" i="28" s="1"/>
  <c r="L70" i="28"/>
  <c r="AB70" i="28" s="1"/>
  <c r="AB111" i="28"/>
  <c r="AB185" i="28"/>
  <c r="AB205" i="28"/>
  <c r="AB74" i="28"/>
  <c r="AB186" i="28"/>
  <c r="AB203" i="28"/>
  <c r="AB142" i="28"/>
  <c r="AB58" i="28"/>
  <c r="AB67" i="28"/>
  <c r="AB69" i="28"/>
  <c r="AB96" i="28"/>
  <c r="AB123" i="28"/>
  <c r="AB138" i="28"/>
  <c r="F199" i="28"/>
  <c r="AB135" i="28"/>
  <c r="AB94" i="28"/>
  <c r="L99" i="28"/>
  <c r="L235" i="28"/>
  <c r="AB80" i="28"/>
  <c r="L234" i="28"/>
  <c r="AB234" i="28" s="1"/>
  <c r="AB59" i="28"/>
  <c r="AB51" i="28"/>
  <c r="AB43" i="28"/>
  <c r="AB38" i="28"/>
  <c r="L233" i="28"/>
  <c r="AB233" i="28" s="1"/>
  <c r="AB10" i="28"/>
  <c r="F34" i="28"/>
  <c r="G136" i="28"/>
  <c r="F68" i="28"/>
  <c r="G109" i="28"/>
  <c r="F121" i="28"/>
  <c r="F87" i="28"/>
  <c r="G125" i="28"/>
  <c r="F119" i="28"/>
  <c r="F104" i="28"/>
  <c r="F176" i="28"/>
  <c r="F18" i="28"/>
  <c r="F98" i="28"/>
  <c r="F175" i="28"/>
  <c r="F64" i="28"/>
  <c r="F25" i="28"/>
  <c r="F193" i="28"/>
  <c r="F96" i="28"/>
  <c r="F94" i="28"/>
  <c r="F49" i="28"/>
  <c r="F93" i="28"/>
  <c r="F201" i="28"/>
  <c r="F126" i="28"/>
  <c r="F192" i="28"/>
  <c r="F142" i="28"/>
  <c r="F91" i="28"/>
  <c r="F86" i="28"/>
  <c r="F186" i="28"/>
  <c r="F185" i="28"/>
  <c r="F135" i="28"/>
  <c r="F180" i="28"/>
  <c r="F174" i="28"/>
  <c r="F65" i="28"/>
  <c r="F188" i="28"/>
  <c r="F131" i="28"/>
  <c r="F100" i="28"/>
  <c r="F72" i="28"/>
  <c r="F173" i="28"/>
  <c r="F8" i="28"/>
  <c r="F48" i="28"/>
  <c r="F102" i="28"/>
  <c r="F105" i="28"/>
  <c r="F132" i="28"/>
  <c r="F50" i="28"/>
  <c r="F101" i="28"/>
  <c r="F35" i="28"/>
  <c r="F183" i="28"/>
  <c r="F140" i="28"/>
  <c r="F31" i="28"/>
  <c r="F58" i="28"/>
  <c r="F6" i="28"/>
  <c r="F148" i="28"/>
  <c r="F45" i="28"/>
  <c r="F139" i="28"/>
  <c r="F27" i="28"/>
  <c r="F30" i="28"/>
  <c r="F97" i="28"/>
  <c r="F95" i="28"/>
  <c r="F42" i="28"/>
  <c r="F29" i="28"/>
  <c r="F179" i="28"/>
  <c r="F129" i="28"/>
  <c r="F28" i="28"/>
  <c r="F23" i="28"/>
  <c r="F115" i="28"/>
  <c r="F22" i="28"/>
  <c r="F110" i="28"/>
  <c r="F90" i="28"/>
  <c r="F103" i="28"/>
  <c r="F37" i="28"/>
  <c r="F78" i="28"/>
  <c r="F47" i="28"/>
  <c r="F128" i="28"/>
  <c r="F46" i="28"/>
  <c r="F26" i="28"/>
  <c r="F24" i="28"/>
  <c r="F38" i="28"/>
  <c r="F61" i="28"/>
  <c r="F76" i="28"/>
  <c r="F39" i="28"/>
  <c r="F43" i="28"/>
  <c r="D1" i="28"/>
  <c r="G107" i="28"/>
  <c r="H205" i="28"/>
  <c r="G121" i="28"/>
  <c r="F127" i="28"/>
  <c r="F200" i="28"/>
  <c r="F107" i="28"/>
  <c r="H187" i="28"/>
  <c r="F44" i="28"/>
  <c r="F17" i="28"/>
  <c r="F5" i="28"/>
  <c r="F137" i="28"/>
  <c r="F41" i="28"/>
  <c r="G34" i="28"/>
  <c r="G51" i="28"/>
  <c r="F52" i="28"/>
  <c r="F51" i="28"/>
  <c r="F21" i="28"/>
  <c r="H204" i="28"/>
  <c r="G21" i="28"/>
  <c r="G137" i="28"/>
  <c r="F143" i="28"/>
  <c r="F150" i="28"/>
  <c r="F89" i="28"/>
  <c r="G89" i="28"/>
  <c r="F109" i="28"/>
  <c r="F73" i="28"/>
  <c r="F125" i="28"/>
  <c r="F124" i="28"/>
  <c r="F63" i="28"/>
  <c r="F62" i="28"/>
  <c r="F33" i="28"/>
  <c r="F7" i="28"/>
  <c r="G120" i="28"/>
  <c r="F120" i="28"/>
  <c r="F67" i="28"/>
  <c r="G67" i="28"/>
  <c r="G68" i="28"/>
  <c r="G33" i="28"/>
  <c r="F59" i="28"/>
  <c r="F136" i="28"/>
  <c r="H182" i="28"/>
  <c r="F181" i="28"/>
  <c r="H203" i="28"/>
  <c r="F196" i="28"/>
  <c r="F184" i="28"/>
  <c r="E44" i="88" l="1"/>
  <c r="D26" i="93"/>
  <c r="E32" i="99"/>
  <c r="E34" i="99" s="1"/>
  <c r="C32" i="99"/>
  <c r="C12" i="99"/>
  <c r="C15" i="99" s="1"/>
  <c r="C18" i="99" s="1"/>
  <c r="D14" i="93"/>
  <c r="AB235" i="28"/>
  <c r="L8" i="88"/>
  <c r="O11" i="88" s="1"/>
  <c r="F11" i="88"/>
  <c r="G11" i="88"/>
  <c r="N25" i="88"/>
  <c r="G25" i="88" s="1"/>
  <c r="G32" i="88"/>
  <c r="L237" i="28"/>
  <c r="AB237" i="28" s="1"/>
  <c r="AB99" i="28"/>
  <c r="G205" i="28"/>
  <c r="G203" i="28"/>
  <c r="F70" i="28"/>
  <c r="G204" i="28"/>
  <c r="F205" i="28"/>
  <c r="F187" i="28"/>
  <c r="F204" i="28"/>
  <c r="F182" i="28"/>
  <c r="F203" i="28"/>
  <c r="C34" i="99" l="1"/>
  <c r="D28" i="93"/>
  <c r="B21" i="99"/>
  <c r="B22" i="99"/>
  <c r="C21" i="99"/>
  <c r="L263" i="28"/>
  <c r="L265" i="28" s="1"/>
  <c r="G44" i="88" l="1"/>
  <c r="F25" i="89" l="1"/>
</calcChain>
</file>

<file path=xl/sharedStrings.xml><?xml version="1.0" encoding="utf-8"?>
<sst xmlns="http://schemas.openxmlformats.org/spreadsheetml/2006/main" count="6903" uniqueCount="2756">
  <si>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</si>
  <si>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</si>
  <si>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</si>
  <si>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</si>
  <si>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</si>
  <si>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</si>
  <si>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</si>
  <si>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</si>
  <si>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</si>
  <si>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</si>
  <si>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</si>
  <si>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</si>
  <si>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</si>
  <si>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</si>
  <si>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</si>
  <si>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</si>
  <si>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</si>
  <si>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</si>
  <si>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</si>
  <si>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</si>
  <si>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</si>
  <si>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</si>
  <si>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</si>
  <si>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</si>
  <si>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</si>
  <si>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</si>
  <si>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</si>
  <si>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</si>
  <si>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</si>
  <si>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</si>
  <si>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</si>
  <si>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</si>
  <si>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</si>
  <si>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</si>
  <si>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</si>
  <si>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</si>
  <si>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</si>
  <si>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</si>
  <si>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</si>
  <si>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</si>
  <si>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</si>
  <si>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</si>
  <si>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</si>
  <si>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</si>
  <si>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</si>
  <si>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</si>
  <si>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</si>
  <si>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</si>
  <si>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</si>
  <si>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</si>
  <si>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</si>
  <si>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</si>
  <si>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</si>
  <si>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</si>
  <si>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</si>
  <si>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</si>
  <si>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</si>
  <si>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</si>
  <si>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</si>
  <si>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</si>
  <si>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</si>
  <si>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</si>
  <si>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</si>
  <si>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</si>
  <si>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</si>
  <si>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</si>
  <si>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</si>
  <si>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</si>
  <si>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</si>
  <si>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</si>
  <si>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</si>
  <si>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</si>
  <si>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</si>
  <si>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</si>
  <si>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</si>
  <si>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Encumbrances at June 30 (listed in the notes)……………………………...…………………………</t>
  </si>
  <si>
    <t>Unavailable or Unearned Revenues Arising from Cash Receipts ……………………………</t>
  </si>
  <si>
    <t>Fund Balance Available for Appropriation ……………………………………………………….</t>
  </si>
  <si>
    <t>Total Restricted by State Statue………………………………………….…………………………………………..</t>
  </si>
  <si>
    <t>Restricted by State Statute Presented on Financial Statements</t>
  </si>
  <si>
    <t>Less</t>
  </si>
  <si>
    <t>Restricted - Stabilization by State Statute (LGC calculation)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</si>
  <si>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</si>
  <si>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</si>
  <si>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</si>
  <si>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</si>
  <si>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</si>
  <si>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</si>
  <si>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</si>
  <si>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</si>
  <si>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</si>
  <si>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</si>
  <si>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</si>
  <si>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</si>
  <si>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</si>
  <si>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</si>
  <si>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</si>
  <si>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</si>
  <si>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</si>
  <si>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</si>
  <si>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</si>
  <si>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</si>
  <si>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</si>
  <si>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</si>
  <si>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</si>
  <si>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</si>
  <si>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</si>
  <si>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</si>
  <si>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</si>
  <si>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</si>
  <si>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</si>
  <si>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</si>
  <si>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</si>
  <si>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</si>
  <si>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</si>
  <si>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</si>
  <si>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</si>
  <si>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</si>
  <si>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</si>
  <si>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</si>
  <si>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</si>
  <si>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</si>
  <si>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</si>
  <si>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</si>
  <si>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</si>
  <si>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</si>
  <si>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</si>
  <si>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</si>
  <si>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</si>
  <si>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</si>
  <si>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</si>
  <si>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</si>
  <si>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</si>
  <si>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</si>
  <si>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</si>
  <si>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</si>
  <si>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</si>
  <si>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</si>
  <si>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</si>
  <si>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</si>
  <si>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</si>
  <si>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</si>
  <si>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</si>
  <si>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</si>
  <si>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</si>
  <si>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</si>
  <si>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</si>
  <si>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</si>
  <si>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</si>
  <si>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</si>
  <si>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</si>
  <si>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</si>
  <si>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</si>
  <si>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</si>
  <si>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</si>
  <si>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</si>
  <si>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</si>
  <si>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</si>
  <si>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</si>
  <si>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</si>
  <si>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</si>
  <si>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</si>
  <si>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</si>
  <si>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</si>
  <si>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</si>
  <si>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</si>
  <si>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</si>
  <si>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</si>
  <si>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</si>
  <si>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</si>
  <si>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</si>
  <si>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</si>
  <si>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</si>
  <si>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</si>
  <si>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</si>
  <si>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</si>
  <si>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</si>
  <si>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</si>
  <si>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</si>
  <si>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</si>
  <si>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</si>
  <si>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</si>
  <si>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</si>
  <si>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</si>
  <si>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</si>
  <si>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</si>
  <si>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</si>
  <si>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</si>
  <si>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</si>
  <si>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</si>
  <si>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</si>
  <si>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</si>
  <si>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</si>
  <si>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</si>
  <si>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</si>
  <si>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</si>
  <si>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</si>
  <si>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</si>
  <si>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</si>
  <si>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</si>
  <si>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</si>
  <si>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</si>
  <si>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</si>
  <si>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</si>
  <si>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</si>
  <si>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</si>
  <si>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</si>
  <si>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</si>
  <si>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</si>
  <si>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</si>
  <si>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</si>
  <si>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</si>
  <si>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</si>
  <si>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</si>
  <si>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</si>
  <si>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</si>
  <si>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</si>
  <si>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</si>
  <si>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</si>
  <si>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</si>
  <si>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</si>
  <si>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</si>
  <si>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</si>
  <si>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</si>
  <si>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</si>
  <si>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</si>
  <si>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</si>
  <si>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</si>
  <si>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</si>
  <si>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</si>
  <si>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</si>
  <si>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</si>
  <si>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</si>
  <si>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</si>
  <si>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</si>
  <si>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</si>
  <si>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</si>
  <si>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</si>
  <si>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</si>
  <si>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</si>
  <si>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</si>
  <si>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</si>
  <si>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</si>
  <si>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</si>
  <si>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</si>
  <si>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</si>
  <si>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</si>
  <si>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</si>
  <si>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</si>
  <si>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</si>
  <si>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</si>
  <si>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</si>
  <si>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</si>
  <si>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</si>
  <si>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</si>
  <si>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</si>
  <si>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</si>
  <si>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</si>
  <si>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</si>
  <si>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</si>
  <si>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</si>
  <si>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</si>
  <si>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</si>
  <si>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</si>
  <si>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</si>
  <si>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</si>
  <si>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</si>
  <si>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</si>
  <si>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</si>
  <si>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</si>
  <si>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</si>
  <si>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</si>
  <si>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</si>
  <si>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</si>
  <si>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</si>
  <si>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</si>
  <si>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</si>
  <si>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</si>
  <si>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</si>
  <si>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</si>
  <si>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</si>
  <si>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</si>
  <si>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Select Your Unit's Name from the drop down box in cell D2</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</si>
  <si>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</si>
  <si>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</si>
  <si>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</si>
  <si>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</si>
  <si>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</si>
  <si>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</si>
  <si>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</si>
  <si>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</si>
  <si>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</si>
  <si>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</si>
  <si>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</si>
  <si>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</si>
  <si>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</si>
  <si>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</si>
  <si>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</si>
  <si>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</si>
  <si>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</si>
  <si>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</si>
  <si>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</si>
  <si>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</si>
  <si>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</si>
  <si>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</si>
  <si>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</si>
  <si>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</si>
  <si>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</si>
  <si>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</si>
  <si>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</si>
  <si>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</si>
  <si>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</si>
  <si>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Advance To: Interfund loan receivable-portion of repayment plan longer than 12 months</t>
  </si>
  <si>
    <t>GF-Advance To - Asset</t>
  </si>
  <si>
    <t>WS -  Advance To - Asset</t>
  </si>
  <si>
    <t>WS - Advance From - Liability</t>
  </si>
  <si>
    <t>EF - Advance To - Asset</t>
  </si>
  <si>
    <t>EF - Advance from - Liability</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</si>
  <si>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</si>
  <si>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</si>
  <si>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</si>
  <si>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</si>
  <si>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</si>
  <si>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</si>
  <si>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</si>
  <si>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</si>
  <si>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</si>
  <si>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</si>
  <si>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</si>
  <si>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</si>
  <si>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50 - Became Operational</t>
  </si>
  <si>
    <t>51 - Ceased Operations</t>
  </si>
  <si>
    <t>52 - No Change</t>
  </si>
  <si>
    <t>Status of Water Sewer</t>
  </si>
  <si>
    <t>Statement of Activities                               (all governmental and business funds)</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</si>
  <si>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</si>
  <si>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</si>
  <si>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</si>
  <si>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</si>
  <si>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</si>
  <si>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</si>
  <si>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</si>
  <si>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</si>
  <si>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</si>
  <si>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OPEB
 Note or RSI</t>
  </si>
  <si>
    <t>Notes or formulas</t>
  </si>
  <si>
    <t>OPEB
RSI</t>
  </si>
  <si>
    <t>LEO
RSI</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</si>
  <si>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</si>
  <si>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</si>
  <si>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</si>
  <si>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</si>
  <si>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FS., Pension note or RSI</t>
  </si>
  <si>
    <t>Notes to the Financial Statements - Pension Note</t>
  </si>
  <si>
    <t>FS., OPEB note or RSI</t>
  </si>
  <si>
    <t>Does the County collect real estate property taxes on your behalf? Select "1" for "yes and "2" for "No"</t>
  </si>
  <si>
    <t>County collects real estate property on your behalf</t>
  </si>
  <si>
    <t>Net Pension Liability</t>
  </si>
  <si>
    <t>Determination of Fiscal Health</t>
  </si>
  <si>
    <t>Fund Balance, Unassigned</t>
  </si>
  <si>
    <t>Debt Service Fund</t>
  </si>
  <si>
    <t>Water Sewer Net Position Statement</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</si>
  <si>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</si>
  <si>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</si>
  <si>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</si>
  <si>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</si>
  <si>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</si>
  <si>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</si>
  <si>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</si>
  <si>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</si>
  <si>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</si>
  <si>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</si>
  <si>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</si>
  <si>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</si>
  <si>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</si>
  <si>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</si>
  <si>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</si>
  <si>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</si>
  <si>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</si>
  <si>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</si>
  <si>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</si>
  <si>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</si>
  <si>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</si>
  <si>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Acct #</t>
  </si>
  <si>
    <t>Fund balance, Assigned (total of all assigned components)</t>
  </si>
  <si>
    <t>Amount of the General Fund Balance appropriated in next year's budget. As reported on the General Fund Balance Sheet.</t>
  </si>
  <si>
    <t>Unit Data From Audit Worksheet</t>
  </si>
  <si>
    <t>Durham</t>
  </si>
  <si>
    <t>Gaston</t>
  </si>
  <si>
    <t>Henderson</t>
  </si>
  <si>
    <t>Macon</t>
  </si>
  <si>
    <t>Rockingham</t>
  </si>
  <si>
    <t>Chapel Hill</t>
  </si>
  <si>
    <t>Charlotte</t>
  </si>
  <si>
    <t>Greensboro</t>
  </si>
  <si>
    <t>Greenville</t>
  </si>
  <si>
    <t>High Point</t>
  </si>
  <si>
    <t>Wake Forest</t>
  </si>
  <si>
    <t>Wilmington</t>
  </si>
  <si>
    <t>Winston-Salem</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</si>
  <si>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</si>
  <si>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</si>
  <si>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</si>
  <si>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</si>
  <si>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</si>
  <si>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</si>
  <si>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</si>
  <si>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</si>
  <si>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</si>
  <si>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</si>
  <si>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</si>
  <si>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</si>
  <si>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</si>
  <si>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</si>
  <si>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</si>
  <si>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</si>
  <si>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</si>
  <si>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</si>
  <si>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OPEB-Plan's fiduciary net position as a % of total OPEB liability</t>
  </si>
  <si>
    <t>Do you use prepared food/occupancy tax revenue stream to support debt.  Yes =1 No=2</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</si>
  <si>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</si>
  <si>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</si>
  <si>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</si>
  <si>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</si>
  <si>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</si>
  <si>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</si>
  <si>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</si>
  <si>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</si>
  <si>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</si>
  <si>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</si>
  <si>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</si>
  <si>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</si>
  <si>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</si>
  <si>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Indian Beach</t>
  </si>
  <si>
    <t>Jackson</t>
  </si>
  <si>
    <t>Kingstown</t>
  </si>
  <si>
    <t>Love Valley</t>
  </si>
  <si>
    <t>Lucama</t>
  </si>
  <si>
    <t>Lumberton</t>
  </si>
  <si>
    <t>Macclesfield</t>
  </si>
  <si>
    <t>Magnolia</t>
  </si>
  <si>
    <t>Maysville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</si>
  <si>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</si>
  <si>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</si>
  <si>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</si>
  <si>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</si>
  <si>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</si>
  <si>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</si>
  <si>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</si>
  <si>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</si>
  <si>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</si>
  <si>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</si>
  <si>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</si>
  <si>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</si>
  <si>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</si>
  <si>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</si>
  <si>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</si>
  <si>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</si>
  <si>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</si>
  <si>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</si>
  <si>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</si>
  <si>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</si>
  <si>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Is the Independent Auditor's Report Opinion Unmodified?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</si>
  <si>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</si>
  <si>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</si>
  <si>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</si>
  <si>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</si>
  <si>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</si>
  <si>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</si>
  <si>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</si>
  <si>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</si>
  <si>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</si>
  <si>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</si>
  <si>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</si>
  <si>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</si>
  <si>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</si>
  <si>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</si>
  <si>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</si>
  <si>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</si>
  <si>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</si>
  <si>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</si>
  <si>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</si>
  <si>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</si>
  <si>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</si>
  <si>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</si>
  <si>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</si>
  <si>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</si>
  <si>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Colerain</t>
  </si>
  <si>
    <t>Columbia</t>
  </si>
  <si>
    <t>Dobbins Heights</t>
  </si>
  <si>
    <t>Dover</t>
  </si>
  <si>
    <t>Earl</t>
  </si>
  <si>
    <t>East Laurinburg</t>
  </si>
  <si>
    <t>East Spencer</t>
  </si>
  <si>
    <t>Edgecombe County</t>
  </si>
  <si>
    <t>Ellerbe</t>
  </si>
  <si>
    <t>Elm City</t>
  </si>
  <si>
    <t>Enfield</t>
  </si>
  <si>
    <t>Everetts</t>
  </si>
  <si>
    <t>Fair Bluff</t>
  </si>
  <si>
    <t>Fairmont</t>
  </si>
  <si>
    <t>Fontana Dam</t>
  </si>
  <si>
    <t>Four Oaks</t>
  </si>
  <si>
    <t>Franklinville</t>
  </si>
  <si>
    <t>Fremont</t>
  </si>
  <si>
    <t>Glen Alpine</t>
  </si>
  <si>
    <t>Goldsboro</t>
  </si>
  <si>
    <t>Greenevers</t>
  </si>
  <si>
    <t>Grover</t>
  </si>
  <si>
    <t>Halifax</t>
  </si>
  <si>
    <t>Hamilton</t>
  </si>
  <si>
    <t>Hamlet</t>
  </si>
  <si>
    <t>Hoffman</t>
  </si>
  <si>
    <t>Holly Ridge</t>
  </si>
  <si>
    <t>Hookerton</t>
  </si>
  <si>
    <t>Hyde County</t>
  </si>
  <si>
    <t>Milton</t>
  </si>
  <si>
    <t>Montreat</t>
  </si>
  <si>
    <t>Mount Olive</t>
  </si>
  <si>
    <t>Navassa</t>
  </si>
  <si>
    <t>Newport</t>
  </si>
  <si>
    <t>Newton Grove</t>
  </si>
  <si>
    <t>Norlina</t>
  </si>
  <si>
    <t>Norman</t>
  </si>
  <si>
    <t>Northampton County</t>
  </si>
  <si>
    <t>Norwood</t>
  </si>
  <si>
    <t>Oak City</t>
  </si>
  <si>
    <t>Pender County</t>
  </si>
  <si>
    <t>Pikeville</t>
  </si>
  <si>
    <t>Pilot Mountain</t>
  </si>
  <si>
    <t>Polkville</t>
  </si>
  <si>
    <t>Pollocksville</t>
  </si>
  <si>
    <t>Princeville</t>
  </si>
  <si>
    <t>Proctorville</t>
  </si>
  <si>
    <t>Ramseur</t>
  </si>
  <si>
    <t>Ranlo</t>
  </si>
  <si>
    <t>Red Springs</t>
  </si>
  <si>
    <t>Rich Square</t>
  </si>
  <si>
    <t>Robbins</t>
  </si>
  <si>
    <t>Robersonville</t>
  </si>
  <si>
    <t>Ronda</t>
  </si>
  <si>
    <t>Scotland County</t>
  </si>
  <si>
    <t>Scotland Neck</t>
  </si>
  <si>
    <t>Sedalia</t>
  </si>
  <si>
    <t>Sharpsburg</t>
  </si>
  <si>
    <t>Snow Hill</t>
  </si>
  <si>
    <t>Spring Lake</t>
  </si>
  <si>
    <t>Taylorsville</t>
  </si>
  <si>
    <t>Taylortown</t>
  </si>
  <si>
    <t>Tryon</t>
  </si>
  <si>
    <t>Tyrrell County</t>
  </si>
  <si>
    <t>Vanceboro</t>
  </si>
  <si>
    <t>Vass</t>
  </si>
  <si>
    <t>Whitakers</t>
  </si>
  <si>
    <t>Wilkesboro</t>
  </si>
  <si>
    <t>No Revaluation with next two years</t>
  </si>
  <si>
    <t>Unsure</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</si>
  <si>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</si>
  <si>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</si>
  <si>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</si>
  <si>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</si>
  <si>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</si>
  <si>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</si>
  <si>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</si>
  <si>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</si>
  <si>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</si>
  <si>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</si>
  <si>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</si>
  <si>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</si>
  <si>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Compliance</t>
  </si>
  <si>
    <t>Allowable Transfer per statute</t>
  </si>
  <si>
    <t>Is Unit following G.S. 159B-39?</t>
  </si>
  <si>
    <t>Payment in Lieu of Taxes Error:</t>
  </si>
  <si>
    <t>Notes:</t>
  </si>
  <si>
    <t xml:space="preserve">Comments: </t>
  </si>
  <si>
    <t>Amount of transfer out to the General Fund that is for Payment in Lieu of Taxes (PILOT)</t>
  </si>
  <si>
    <t>Decrease</t>
  </si>
  <si>
    <t>No Change</t>
  </si>
  <si>
    <t>Performance Indicator</t>
  </si>
  <si>
    <t>Unit Number:</t>
  </si>
  <si>
    <t>Equal or greater than 1</t>
  </si>
  <si>
    <t>Less than 3%</t>
  </si>
  <si>
    <t>Unit Data from Audit Worksheet tab : (654-655-579-510)/(633-634-635-636-637-638-578)</t>
  </si>
  <si>
    <t>Date the Auditor presented or plans to present the Audit to the Governing Board</t>
  </si>
  <si>
    <t>Of the transfers-in above in acct # 352, list amount of transfers-in that were used to support Water Sewer operations  (exclude capital transfers)</t>
  </si>
  <si>
    <t>Unit Data from Audit worksheet tab : (984-985)/985</t>
  </si>
  <si>
    <t>Unit Data from Audit worksheet tab :  CCH acct # 991</t>
  </si>
  <si>
    <t>No over-expenditures</t>
  </si>
  <si>
    <t>hidden data</t>
  </si>
  <si>
    <t>Unit Data from Audit worksheet tab : (657-658-511-581)/(639-640-641-642-643-644-580)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</si>
  <si>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</si>
  <si>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</si>
  <si>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</si>
  <si>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</si>
  <si>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</si>
  <si>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</si>
  <si>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</si>
  <si>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Tax rate for year audited</t>
  </si>
  <si>
    <t>Unit Name:</t>
  </si>
  <si>
    <t>D</t>
  </si>
  <si>
    <t>E</t>
  </si>
  <si>
    <t>F</t>
  </si>
  <si>
    <t>G</t>
  </si>
  <si>
    <t>H</t>
  </si>
  <si>
    <t>PROPERTY TAX RATES AND REVALUATION SCHEDULES FOR NORTH CAROLINA COUNTIES</t>
  </si>
  <si>
    <t>(All rates per $100 valuation*)</t>
  </si>
  <si>
    <t>Year</t>
  </si>
  <si>
    <t>Next</t>
  </si>
  <si>
    <t>Tax</t>
  </si>
  <si>
    <t>of latest</t>
  </si>
  <si>
    <t>scheduled</t>
  </si>
  <si>
    <t>Counties</t>
  </si>
  <si>
    <t>Rate</t>
  </si>
  <si>
    <t>revaluation</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</si>
  <si>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</si>
  <si>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</si>
  <si>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</si>
  <si>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</si>
  <si>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</si>
  <si>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</si>
  <si>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</si>
  <si>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</si>
  <si>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</si>
  <si>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</si>
  <si>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</si>
  <si>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</si>
  <si>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</si>
  <si>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</si>
  <si>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</si>
  <si>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</si>
  <si>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</si>
  <si>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</si>
  <si>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</si>
  <si>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Do you operate a landfill that will be closing  or have a significant portion closing within the next 5 years?  Select "1" for Yes and "2" for No</t>
  </si>
  <si>
    <t xml:space="preserve">Estimated cost not yet budgeted of any mandate placed on unit by DEQ, a court order or some similar requirement (that has no realistic appeal path). </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</si>
  <si>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</si>
  <si>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</si>
  <si>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</si>
  <si>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</si>
  <si>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</si>
  <si>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</si>
  <si>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</si>
  <si>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</si>
  <si>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</si>
  <si>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</si>
  <si>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</si>
  <si>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</si>
  <si>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</si>
  <si>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Did the Unit have any of the following occur:
1.  Bond covenants were not met
2.  Debt service payments made late?  Deferred payments authorized by LGC or other state
     agencies should not be counted as late for purposes of this question.</t>
  </si>
  <si>
    <t>TD Info Completed by Auditor : CCH acct # 974</t>
  </si>
  <si>
    <t>Muni</t>
  </si>
  <si>
    <t>Minimum Threshold</t>
  </si>
  <si>
    <r>
      <t>Gross Capital Assets-</t>
    </r>
    <r>
      <rPr>
        <b/>
        <sz val="11"/>
        <rFont val="Calibri"/>
        <family val="2"/>
        <scheme val="minor"/>
      </rPr>
      <t>Prior Year</t>
    </r>
  </si>
  <si>
    <r>
      <t>Gross Annual Revenue-</t>
    </r>
    <r>
      <rPr>
        <b/>
        <sz val="11"/>
        <rFont val="Calibri"/>
        <family val="2"/>
        <scheme val="minor"/>
      </rPr>
      <t>Prior Year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</si>
  <si>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</si>
  <si>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</si>
  <si>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</si>
  <si>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Please enter your tax rate for ad valorem in effect for fiscal year audited.  Example 60 cents per 100 would be entered as .60</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</si>
  <si>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</si>
  <si>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</si>
  <si>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</si>
  <si>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</si>
  <si>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</si>
  <si>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</si>
  <si>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</si>
  <si>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</si>
  <si>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</si>
  <si>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</si>
  <si>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</si>
  <si>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</si>
  <si>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</si>
  <si>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</si>
  <si>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</si>
  <si>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</si>
  <si>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</si>
  <si>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</si>
  <si>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</si>
  <si>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</si>
  <si>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</si>
  <si>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</si>
  <si>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</si>
  <si>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</si>
  <si>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</si>
  <si>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</si>
  <si>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</si>
  <si>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</si>
  <si>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</si>
  <si>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</si>
  <si>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</si>
  <si>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</si>
  <si>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</si>
  <si>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</si>
  <si>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</si>
  <si>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</si>
  <si>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</si>
  <si>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</si>
  <si>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</si>
  <si>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</si>
  <si>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</si>
  <si>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</si>
  <si>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</si>
  <si>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</si>
  <si>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</si>
  <si>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</si>
  <si>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</si>
  <si>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</si>
  <si>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</si>
  <si>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</si>
  <si>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</si>
  <si>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</si>
  <si>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</si>
  <si>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</si>
  <si>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</si>
  <si>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</si>
  <si>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</si>
  <si>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</si>
  <si>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</si>
  <si>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</si>
  <si>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</si>
  <si>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</si>
  <si>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</si>
  <si>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</si>
  <si>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</si>
  <si>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</si>
  <si>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</si>
  <si>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</si>
  <si>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</si>
  <si>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</si>
  <si>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</si>
  <si>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</si>
  <si>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</si>
  <si>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</si>
  <si>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</si>
  <si>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</si>
  <si>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</si>
  <si>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</si>
  <si>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</si>
  <si>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</si>
  <si>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</si>
  <si>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</si>
  <si>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</si>
  <si>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</si>
  <si>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</si>
  <si>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</si>
  <si>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</si>
  <si>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</si>
  <si>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</si>
  <si>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</si>
  <si>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</si>
  <si>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</si>
  <si>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</si>
  <si>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</si>
  <si>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</si>
  <si>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</si>
  <si>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</si>
  <si>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</si>
  <si>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</si>
  <si>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</si>
  <si>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</si>
  <si>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</si>
  <si>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</si>
  <si>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</si>
  <si>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</si>
  <si>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</si>
  <si>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</si>
  <si>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</si>
  <si>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</si>
  <si>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</si>
  <si>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</si>
  <si>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</si>
  <si>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</si>
  <si>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</si>
  <si>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</si>
  <si>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Messages</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</si>
  <si>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</si>
  <si>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</si>
  <si>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</si>
  <si>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</si>
  <si>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</si>
  <si>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</si>
  <si>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</si>
  <si>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</si>
  <si>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</si>
  <si>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</si>
  <si>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</si>
  <si>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</si>
  <si>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</si>
  <si>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</si>
  <si>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</si>
  <si>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</si>
  <si>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</si>
  <si>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t>Leave blank if data not available</t>
  </si>
  <si>
    <t>Debt Service Fund Balance</t>
  </si>
  <si>
    <t>Did unit have problems with debt service payments being late, debt restructured or not meeting bond covenants</t>
  </si>
  <si>
    <t>If you answered "yes" to question CCH #988 above, will you have the closure/postclosure cost fully funded by the date of closure</t>
  </si>
  <si>
    <t>Greater than 16% (2 months)</t>
  </si>
  <si>
    <t>Unit Data from Audit worksheet tab :  CCH acct # 986 is greater than (CCH 85+CCH 351)*.03</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</si>
  <si>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</si>
  <si>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Select Unit Name from Drop Down List</t>
  </si>
  <si>
    <t>Section 1: Data Collection NOTE:  the data submitted below may be used in various published reports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</si>
  <si>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</si>
  <si>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</si>
  <si>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</si>
  <si>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</si>
  <si>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</si>
  <si>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</si>
  <si>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</si>
  <si>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</si>
  <si>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</si>
  <si>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</si>
  <si>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</si>
  <si>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</si>
  <si>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</si>
  <si>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</si>
  <si>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</si>
  <si>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</si>
  <si>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</si>
  <si>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</si>
  <si>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</si>
  <si>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</si>
  <si>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</si>
  <si>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</si>
  <si>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</si>
  <si>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</si>
  <si>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</si>
  <si>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</si>
  <si>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</si>
  <si>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</si>
  <si>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</si>
  <si>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</si>
  <si>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</si>
  <si>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</si>
  <si>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</si>
  <si>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</si>
  <si>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</si>
  <si>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</si>
  <si>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</si>
  <si>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</si>
  <si>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</si>
  <si>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</si>
  <si>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</si>
  <si>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</si>
  <si>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</si>
  <si>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</si>
  <si>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</si>
  <si>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Martin County</t>
  </si>
  <si>
    <t>GENERAL FUND:</t>
  </si>
  <si>
    <t>Unit Results</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</si>
  <si>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</si>
  <si>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Greater than zero</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</si>
  <si>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</si>
  <si>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</si>
  <si>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</si>
  <si>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</si>
  <si>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Any estimated decrease</t>
  </si>
  <si>
    <t>You indicated that you expect a decrease in property value for your next property revaluation which could result in lost tax revenue.</t>
  </si>
  <si>
    <t>Please indicate if you expect your revaluation to increase, decrease, or no change.  If you are not listed please select N/A</t>
  </si>
  <si>
    <t>I</t>
  </si>
  <si>
    <t>Do you operate a landfill that will be closing  or have a significant portion closing within the next 5 years</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</si>
  <si>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</si>
  <si>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</si>
  <si>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</si>
  <si>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</si>
  <si>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</si>
  <si>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</si>
  <si>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</si>
  <si>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</si>
  <si>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</si>
  <si>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</si>
  <si>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</si>
  <si>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</si>
  <si>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</si>
  <si>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</si>
  <si>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</si>
  <si>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Agrees</t>
  </si>
  <si>
    <t>from 2021 control Sheet</t>
  </si>
  <si>
    <t>from collection tab</t>
  </si>
  <si>
    <t>Intergovernmental Data Code</t>
  </si>
  <si>
    <t>WS - Total Current Assets</t>
  </si>
  <si>
    <t>WS - Select Current Liabilities</t>
  </si>
  <si>
    <t>Electric - Total Current Assets</t>
  </si>
  <si>
    <t>WS Cap Asset - Land &amp; other Non-Construction</t>
  </si>
  <si>
    <t>Gov - Select Current Liabilities</t>
  </si>
  <si>
    <t>GA- Total General revenues (No transfers, special, extraordinary items)(SOA)</t>
  </si>
  <si>
    <t>WS - Total Non-Operating Revenues-exclude capital contrib.</t>
  </si>
  <si>
    <t>Electric - Total Transfers Out (to all funds)</t>
  </si>
  <si>
    <t>Gen Fund - Any Adj. to Beginning Net Position</t>
  </si>
  <si>
    <t>Gen Fund - Total Expenditures</t>
  </si>
  <si>
    <t>Gen Fund - Proceeds from LTD</t>
  </si>
  <si>
    <t>Amount of the Water Sewer Fund Balance appropriated in next year's budget</t>
  </si>
  <si>
    <t>OPEB
1-implicit rate only
2-no benefit
3-benfit
4- state health plan</t>
  </si>
  <si>
    <t>Yes  or "1" indicates unit has defined benefit other than the ones adm. By the state</t>
  </si>
  <si>
    <t>WS-Advance From - Liability</t>
  </si>
  <si>
    <t>WS-Advance To - Asset</t>
  </si>
  <si>
    <t>Electric-Advance From - Liability</t>
  </si>
  <si>
    <t>Electric-Advance To - Asset</t>
  </si>
  <si>
    <t>GF - Advance to</t>
  </si>
  <si>
    <t>Compliance opinion - enter "1" for clean Opinion or "2" for other than clean opinion</t>
  </si>
  <si>
    <t>LEO - plan's fiduary net position as a % of total pension liability</t>
  </si>
  <si>
    <t>Do you expect to issue debt requiring LGC approval within 12 months from the date that the audit is submitted - select "1" for year and "2" for no</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</si>
  <si>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</si>
  <si>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</si>
  <si>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</si>
  <si>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</si>
  <si>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</si>
  <si>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</si>
  <si>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</si>
  <si>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</si>
  <si>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GW-Current Liabilities - closure/Postclosure</t>
  </si>
  <si>
    <t>Debt Service Funds Total Fund Balance</t>
  </si>
  <si>
    <t>WS-Any current assets that are restricted (Cash, Accounts Rec., ect.)</t>
  </si>
  <si>
    <t>Electric-Total Current Assets as presented on the Statement of Net Position</t>
  </si>
  <si>
    <t>Electric-Any current assets that are restricted (Cash, Accounts Rec., ect.)</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</si>
  <si>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</si>
  <si>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</si>
  <si>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</si>
  <si>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</si>
  <si>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</si>
  <si>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</si>
  <si>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Peggy</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</si>
  <si>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</si>
  <si>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</si>
  <si>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</si>
  <si>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</si>
  <si>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</si>
  <si>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1/1/2021</t>
  </si>
  <si>
    <t>8/1/2021</t>
  </si>
  <si>
    <t>1/1/2020</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</si>
  <si>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</si>
  <si>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</si>
  <si>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</si>
  <si>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</si>
  <si>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</si>
  <si>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</si>
  <si>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</si>
  <si>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</si>
  <si>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</si>
  <si>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FINANCE OFFICER</t>
  </si>
  <si>
    <t>Town Clerk</t>
  </si>
  <si>
    <t>Date the FO signed the Data Input worksheet</t>
  </si>
  <si>
    <t>Telephone number of the FO who signed the data input worksheet</t>
  </si>
  <si>
    <t>E-mail address of FO who signed the data input worksheet</t>
  </si>
  <si>
    <t>Did the Unit have any of the following occur:
1.  Were any debt service payments deferred or restructured in this fiscal year? (does not include refinancings designed to take advantage of lower interest rates)
2.  Bond covenants were not met
3.  Debt serv</t>
  </si>
  <si>
    <t>The Auditor will submit the Audit Report to the LGC within five months plus one day after the fiscal year end.-á (for units with a June 30th fiscal year-end this would be December 1)-á-á Select Yes or No</t>
  </si>
  <si>
    <t>12/14/2021</t>
  </si>
  <si>
    <t>Amount of Ad valorem tax collected (including motor vehicle and prior years) reported on budget actual statement</t>
  </si>
  <si>
    <t>Amount of Ad valorem tax budgeted (including motor vehicle and prior years) reported on budget actual statement</t>
  </si>
  <si>
    <t>Estimated cost of any mandate placed on unit by DEQ, a court order or some similar requirement (that has no realistic appeal path) that the finacial effect will be greater that 3% of the WS budget and is not already been budgeted.</t>
  </si>
  <si>
    <t>Do you operate a landfill that will be closing  or have a significant portion closing within the next 5 years?</t>
  </si>
  <si>
    <t>If you answered "yes" to question CCH #988 above, will you have the closure/postclosure cost fully funded by the date of closure?</t>
  </si>
  <si>
    <t>The Counties listed in cell H260 are scheduled to revalue property listing by 1/1/2022 according to the Dept. of Revenue records.  Please indicate if you expect your revaluation to increase, decrease, or no change.  If you are not listed please select N/A</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</si>
  <si>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</si>
  <si>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</si>
  <si>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</si>
  <si>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</si>
  <si>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</si>
  <si>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</si>
  <si>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</si>
  <si>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</si>
  <si>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</si>
  <si>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LGC Records indicate that your unit has an operational Water and/or Sewer system and needs to complete the Water Sewer Question</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</si>
  <si>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</si>
  <si>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</si>
  <si>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</si>
  <si>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</si>
  <si>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</si>
  <si>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</si>
  <si>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</si>
  <si>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</si>
  <si>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</si>
  <si>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</si>
  <si>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</si>
  <si>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</si>
  <si>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</si>
  <si>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</si>
  <si>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</si>
  <si>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</si>
  <si>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</si>
  <si>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</si>
  <si>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</si>
  <si>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</si>
  <si>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St. Helena</t>
  </si>
  <si>
    <t>St. James</t>
  </si>
  <si>
    <t>St. Pauls</t>
  </si>
  <si>
    <t>Staley</t>
  </si>
  <si>
    <t>Stallings</t>
  </si>
  <si>
    <t>Stanfield</t>
  </si>
  <si>
    <t>Stantonsburg</t>
  </si>
  <si>
    <t>Star</t>
  </si>
  <si>
    <t>Statesville</t>
  </si>
  <si>
    <t>Stedman</t>
  </si>
  <si>
    <t>Stem</t>
  </si>
  <si>
    <t>Stokesdale</t>
  </si>
  <si>
    <t>Stoneville</t>
  </si>
  <si>
    <t>Stovall</t>
  </si>
  <si>
    <t>Sugar Mountain</t>
  </si>
  <si>
    <t>Summerfield</t>
  </si>
  <si>
    <t>Sunset Beach</t>
  </si>
  <si>
    <t>Surf City</t>
  </si>
  <si>
    <t>Swansboro</t>
  </si>
  <si>
    <t>Swepsonville</t>
  </si>
  <si>
    <t>Sylva</t>
  </si>
  <si>
    <t>Tar Heel</t>
  </si>
  <si>
    <t>Tarboro</t>
  </si>
  <si>
    <t>Thomasville</t>
  </si>
  <si>
    <t>Tobaccoville</t>
  </si>
  <si>
    <t>Topsail Beach</t>
  </si>
  <si>
    <t>Trent Woods</t>
  </si>
  <si>
    <t>Trenton</t>
  </si>
  <si>
    <t>Trinity</t>
  </si>
  <si>
    <t>Troutman</t>
  </si>
  <si>
    <t>Troy</t>
  </si>
  <si>
    <t>Turkey</t>
  </si>
  <si>
    <t>Unionville</t>
  </si>
  <si>
    <t>Valdese</t>
  </si>
  <si>
    <t>Vandemere</t>
  </si>
  <si>
    <t>Varnamtown</t>
  </si>
  <si>
    <t>Wade</t>
  </si>
  <si>
    <t>Wadesboro</t>
  </si>
  <si>
    <t>Wagram</t>
  </si>
  <si>
    <t>Walkertown</t>
  </si>
  <si>
    <t>Wallace</t>
  </si>
  <si>
    <t>Wallburg</t>
  </si>
  <si>
    <t>Walnut Cove</t>
  </si>
  <si>
    <t>Walstonburg</t>
  </si>
  <si>
    <t>Warsaw</t>
  </si>
  <si>
    <t>Washington</t>
  </si>
  <si>
    <t>Washington Park</t>
  </si>
  <si>
    <t>Watha</t>
  </si>
  <si>
    <t>Waxhaw</t>
  </si>
  <si>
    <t>Waynesville</t>
  </si>
  <si>
    <t>Weaverville</t>
  </si>
  <si>
    <t>Webster</t>
  </si>
  <si>
    <t>Weddington</t>
  </si>
  <si>
    <t>Weldon</t>
  </si>
  <si>
    <t>Wendell</t>
  </si>
  <si>
    <t>Wentworth</t>
  </si>
  <si>
    <t>Wesley Chapel</t>
  </si>
  <si>
    <t>West Jefferson</t>
  </si>
  <si>
    <t>Whispering Pines</t>
  </si>
  <si>
    <t>Whiteville</t>
  </si>
  <si>
    <t>Whitsett</t>
  </si>
  <si>
    <t>Williamston</t>
  </si>
  <si>
    <t>Wilson</t>
  </si>
  <si>
    <t>Wilson's Mills</t>
  </si>
  <si>
    <t>Windsor</t>
  </si>
  <si>
    <t>Winfall</t>
  </si>
  <si>
    <t>Wingate</t>
  </si>
  <si>
    <t>Winterville</t>
  </si>
  <si>
    <t>Woodfin</t>
  </si>
  <si>
    <t>Woodland</t>
  </si>
  <si>
    <t>Wrightsville Beach</t>
  </si>
  <si>
    <t>Yadkinville</t>
  </si>
  <si>
    <t>Youngsville</t>
  </si>
  <si>
    <t>Zebulon</t>
  </si>
  <si>
    <t>Graham</t>
  </si>
  <si>
    <t>Hudson</t>
  </si>
  <si>
    <t>Town Administrator</t>
  </si>
  <si>
    <t>Governmental Activities - Benchmarking Tool uses account 336 in the code to calculate liquidity quick ratio.  Must be included on imported to CCH and SQL database.  Memos used these accounts as well.</t>
  </si>
  <si>
    <t>Governmental Activities - Benchmarking Tool uses account 336 in the code to calculate liquidity quick ratio.  Must be included on imported to CCH and SQL database. Memos used these accounts as well.</t>
  </si>
  <si>
    <t>Telephone Number and Ext., etc.</t>
  </si>
  <si>
    <t>formula code</t>
  </si>
  <si>
    <t>1/1/2015</t>
  </si>
  <si>
    <t>7/1/2020</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</si>
  <si>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</si>
  <si>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</si>
  <si>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</si>
  <si>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1.</t>
  </si>
  <si>
    <t>2.</t>
  </si>
  <si>
    <t>Units of government are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</si>
  <si>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3.</t>
  </si>
  <si>
    <t>4.</t>
  </si>
  <si>
    <t>Note: If more than one performance indicator is identified,  one proposed solution may solve all water and sewer performance indicators.</t>
  </si>
  <si>
    <t>5.</t>
  </si>
  <si>
    <t>Cash Flow Indicators:</t>
  </si>
  <si>
    <t>6.</t>
  </si>
  <si>
    <t>7.</t>
  </si>
  <si>
    <t>The rate structure of the Water and Sewer Fund should support the operating expenses of the fund without operating subsidies or transfers from other funds.</t>
  </si>
  <si>
    <t>Note: If more than one performance indicator is identified,  one proposed solution may solve all electric performance indicators.</t>
  </si>
  <si>
    <t>The unit had problems with debt service payments being late and/or did not comply with the bond covenants.</t>
  </si>
  <si>
    <t>You indicated that you expect a decrease in property value for your next property revaluation.   In your FPIC Response Letter please discuss the magnitude of the drop in valuation, the overall cause of the drop and how you plan to recover the lost revenues.</t>
  </si>
  <si>
    <t>The unit has expenditures that exceed the legal budget ordinance.  This indicates that the unit's purchase order system, contract approval process and / or payment process is not in compliance with North Carolina General Statute 159.</t>
  </si>
  <si>
    <t>Ahoskie</t>
  </si>
  <si>
    <t>Alamance</t>
  </si>
  <si>
    <t>Albemarle</t>
  </si>
  <si>
    <t>Alliance</t>
  </si>
  <si>
    <t>Transfers to Electric Capital Projects Per Audit</t>
  </si>
  <si>
    <t>Angier</t>
  </si>
  <si>
    <t>Ansonville</t>
  </si>
  <si>
    <t>Apex</t>
  </si>
  <si>
    <t>Arapahoe</t>
  </si>
  <si>
    <t>Archdale</t>
  </si>
  <si>
    <t>Archer Lodge</t>
  </si>
  <si>
    <t>Asheboro</t>
  </si>
  <si>
    <t>Asheville</t>
  </si>
  <si>
    <t>Atkinson</t>
  </si>
  <si>
    <t>Amount Transferred minus PILOT and Transfers to Electric Capital Projects</t>
  </si>
  <si>
    <t>Atlantic Beach</t>
  </si>
  <si>
    <t>Aurora</t>
  </si>
  <si>
    <t>Autryville</t>
  </si>
  <si>
    <t>Bakersville</t>
  </si>
  <si>
    <t>Bald Head Island</t>
  </si>
  <si>
    <t>Banner Elk</t>
  </si>
  <si>
    <t>Bayboro</t>
  </si>
  <si>
    <t>Bear Grass</t>
  </si>
  <si>
    <t>Beaufort</t>
  </si>
  <si>
    <t>Beech Mountain</t>
  </si>
  <si>
    <t>Bethania</t>
  </si>
  <si>
    <t>Belwood</t>
  </si>
  <si>
    <t>Benson</t>
  </si>
  <si>
    <t>Bermuda Run</t>
  </si>
  <si>
    <t>Bessemer City</t>
  </si>
  <si>
    <t>Beulaville</t>
  </si>
  <si>
    <t>Biltmore Forest</t>
  </si>
  <si>
    <t>Biscoe</t>
  </si>
  <si>
    <t>Black Mountain</t>
  </si>
  <si>
    <t>Bladenboro</t>
  </si>
  <si>
    <t>Blowing Rock</t>
  </si>
  <si>
    <t>Bogue</t>
  </si>
  <si>
    <t>Boiling Springs</t>
  </si>
  <si>
    <t>Boiling Spring Lakes</t>
  </si>
  <si>
    <t>Bolivia</t>
  </si>
  <si>
    <t>Boone</t>
  </si>
  <si>
    <t>Boonville</t>
  </si>
  <si>
    <t>Bostic</t>
  </si>
  <si>
    <t>Bridgeton</t>
  </si>
  <si>
    <t>Broadway</t>
  </si>
  <si>
    <t>Brookford</t>
  </si>
  <si>
    <t>Brunswick</t>
  </si>
  <si>
    <t>Bryson City</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</si>
  <si>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</si>
  <si>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</si>
  <si>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</si>
  <si>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</si>
  <si>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</si>
  <si>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</si>
  <si>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</si>
  <si>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</si>
  <si>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</si>
  <si>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</si>
  <si>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</si>
  <si>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</si>
  <si>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</si>
  <si>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</si>
  <si>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</si>
  <si>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</si>
  <si>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</si>
  <si>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</si>
  <si>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</si>
  <si>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Cedar Rock</t>
  </si>
  <si>
    <t>Chadbourn</t>
  </si>
  <si>
    <t>Cherryville</t>
  </si>
  <si>
    <t>China Grove</t>
  </si>
  <si>
    <t>Claremont</t>
  </si>
  <si>
    <t>Clayton</t>
  </si>
  <si>
    <t>Clemmons</t>
  </si>
  <si>
    <t>Cleveland</t>
  </si>
  <si>
    <t>Clinton</t>
  </si>
  <si>
    <t>Clyde</t>
  </si>
  <si>
    <t>Coats</t>
  </si>
  <si>
    <t>Columbus</t>
  </si>
  <si>
    <t>Como</t>
  </si>
  <si>
    <t>Concord</t>
  </si>
  <si>
    <t>Connelly Springs</t>
  </si>
  <si>
    <t>Conover</t>
  </si>
  <si>
    <t>Conway</t>
  </si>
  <si>
    <t>Cooleemee</t>
  </si>
  <si>
    <t>Cornelius</t>
  </si>
  <si>
    <t>Cove City</t>
  </si>
  <si>
    <t>Cramerton</t>
  </si>
  <si>
    <t>Creedmoor</t>
  </si>
  <si>
    <t>Crossnore</t>
  </si>
  <si>
    <t>Danbury</t>
  </si>
  <si>
    <t>Davidson</t>
  </si>
  <si>
    <t>Denton</t>
  </si>
  <si>
    <t>Dillsboro</t>
  </si>
  <si>
    <t>Dobson</t>
  </si>
  <si>
    <t>Dortches</t>
  </si>
  <si>
    <t>Drexel</t>
  </si>
  <si>
    <t>Dublin</t>
  </si>
  <si>
    <t>Duck</t>
  </si>
  <si>
    <t>Dunn</t>
  </si>
  <si>
    <t>East Arcadia</t>
  </si>
  <si>
    <t>East Bend</t>
  </si>
  <si>
    <t>Eastover</t>
  </si>
  <si>
    <t>Eden</t>
  </si>
  <si>
    <t>Edenton</t>
  </si>
  <si>
    <t>Elizabethtown</t>
  </si>
  <si>
    <t>Elk Park</t>
  </si>
  <si>
    <t>Elkin</t>
  </si>
  <si>
    <t>Ellenboro</t>
  </si>
  <si>
    <t>Elon</t>
  </si>
  <si>
    <t>Emerald Isle</t>
  </si>
  <si>
    <t>Fairview</t>
  </si>
  <si>
    <t>Faison</t>
  </si>
  <si>
    <t>Faith</t>
  </si>
  <si>
    <t>Falcon</t>
  </si>
  <si>
    <t>Falkland</t>
  </si>
  <si>
    <t>Fallston</t>
  </si>
  <si>
    <t>Farmville</t>
  </si>
  <si>
    <t>Fayetteville</t>
  </si>
  <si>
    <t>Flat Rock</t>
  </si>
  <si>
    <t>Fletcher</t>
  </si>
  <si>
    <t>Forest City</t>
  </si>
  <si>
    <t>Forest Hills</t>
  </si>
  <si>
    <t>Fountain</t>
  </si>
  <si>
    <t>Foxfire Village</t>
  </si>
  <si>
    <t>Franklin</t>
  </si>
  <si>
    <t>Franklinton</t>
  </si>
  <si>
    <t>Fuquay-Varina</t>
  </si>
  <si>
    <t>Gamewell</t>
  </si>
  <si>
    <t>Garland</t>
  </si>
  <si>
    <t>Garner</t>
  </si>
  <si>
    <t>Garysburg</t>
  </si>
  <si>
    <t>Gastonia</t>
  </si>
  <si>
    <t>Gatesville</t>
  </si>
  <si>
    <t>Gibsonville</t>
  </si>
  <si>
    <t>Godwin</t>
  </si>
  <si>
    <t>Goldston</t>
  </si>
  <si>
    <t>Grandfather Village</t>
  </si>
  <si>
    <t>Granite Falls</t>
  </si>
  <si>
    <t>Granite Quarry</t>
  </si>
  <si>
    <t>Grantsboro</t>
  </si>
  <si>
    <t>Grifton</t>
  </si>
  <si>
    <t>Grimesland</t>
  </si>
  <si>
    <t>Harmony</t>
  </si>
  <si>
    <t>Harrells</t>
  </si>
  <si>
    <t>Harrellsville</t>
  </si>
  <si>
    <t>Harrisburg</t>
  </si>
  <si>
    <t>Havelock</t>
  </si>
  <si>
    <t>Hayesville</t>
  </si>
  <si>
    <t>Hemby Bridge</t>
  </si>
  <si>
    <t>Hendersonville</t>
  </si>
  <si>
    <t>Hickory</t>
  </si>
  <si>
    <t>High Shoals</t>
  </si>
  <si>
    <t>Highlands</t>
  </si>
  <si>
    <t>Hildebran</t>
  </si>
  <si>
    <t>Hillsborough</t>
  </si>
  <si>
    <t>Hobgood</t>
  </si>
  <si>
    <t>Holden Beach</t>
  </si>
  <si>
    <t>Holly Springs</t>
  </si>
  <si>
    <t>Hope Mills</t>
  </si>
  <si>
    <t>Hot Springs</t>
  </si>
  <si>
    <t>Huntersville</t>
  </si>
  <si>
    <t>Indian Trail</t>
  </si>
  <si>
    <t>Jacksonville</t>
  </si>
  <si>
    <t>Jamestown</t>
  </si>
  <si>
    <t>Jamesville</t>
  </si>
  <si>
    <t>Jefferson</t>
  </si>
  <si>
    <t>Jonesville</t>
  </si>
  <si>
    <t>Kannapolis</t>
  </si>
  <si>
    <t>Kelford</t>
  </si>
  <si>
    <t>Kenansville</t>
  </si>
  <si>
    <t>Kenly</t>
  </si>
  <si>
    <t>Kernersville</t>
  </si>
  <si>
    <t>Kill Devil Hills</t>
  </si>
  <si>
    <t>King</t>
  </si>
  <si>
    <t>Kings Mountain</t>
  </si>
  <si>
    <t>Kinston</t>
  </si>
  <si>
    <t>Kittrell</t>
  </si>
  <si>
    <t>Kitty Hawk</t>
  </si>
  <si>
    <t>Knightdale</t>
  </si>
  <si>
    <t>Kure Beach</t>
  </si>
  <si>
    <t>La Grange</t>
  </si>
  <si>
    <t>Lake Lure</t>
  </si>
  <si>
    <t>Lake Park</t>
  </si>
  <si>
    <t>Lake Santeetlah</t>
  </si>
  <si>
    <t>Lake Waccamaw</t>
  </si>
  <si>
    <t>Landis</t>
  </si>
  <si>
    <t>Lansing</t>
  </si>
  <si>
    <t>Lasker</t>
  </si>
  <si>
    <t>Lattimore</t>
  </si>
  <si>
    <t>Laurel Park</t>
  </si>
  <si>
    <t>Laurinburg</t>
  </si>
  <si>
    <t>Lawndale</t>
  </si>
  <si>
    <t>Leggett</t>
  </si>
  <si>
    <t>Leland</t>
  </si>
  <si>
    <t>Lenoir</t>
  </si>
  <si>
    <t>Lewiston-Woodville</t>
  </si>
  <si>
    <t>Lewisville</t>
  </si>
  <si>
    <t>Lexington</t>
  </si>
  <si>
    <t>Liberty</t>
  </si>
  <si>
    <t>Lilesville</t>
  </si>
  <si>
    <t>Lillington</t>
  </si>
  <si>
    <t>Lincolnton</t>
  </si>
  <si>
    <t>Linden</t>
  </si>
  <si>
    <t>Littleton</t>
  </si>
  <si>
    <t>Locust</t>
  </si>
  <si>
    <t>Long View</t>
  </si>
  <si>
    <t>Louisburg</t>
  </si>
  <si>
    <t>Lowell</t>
  </si>
  <si>
    <t>Lumber Bridge</t>
  </si>
  <si>
    <t>Madison</t>
  </si>
  <si>
    <t>Maggie Valley</t>
  </si>
  <si>
    <t>Maiden</t>
  </si>
  <si>
    <t>Manteo</t>
  </si>
  <si>
    <t>Marietta</t>
  </si>
  <si>
    <t>Marion</t>
  </si>
  <si>
    <t>Mars Hill</t>
  </si>
  <si>
    <t>Marshall</t>
  </si>
  <si>
    <t>Marshville</t>
  </si>
  <si>
    <t>Marvin</t>
  </si>
  <si>
    <t>Matthews</t>
  </si>
  <si>
    <t>Maxton</t>
  </si>
  <si>
    <t>Mayodan</t>
  </si>
  <si>
    <t>McAdenville</t>
  </si>
  <si>
    <t>McDonald</t>
  </si>
  <si>
    <t>McFarlan</t>
  </si>
  <si>
    <t>Mebane</t>
  </si>
  <si>
    <t>Mesic</t>
  </si>
  <si>
    <t>Middlesex</t>
  </si>
  <si>
    <t>Midland</t>
  </si>
  <si>
    <t>Midway</t>
  </si>
  <si>
    <t>Mills River</t>
  </si>
  <si>
    <t>Mineral Springs</t>
  </si>
  <si>
    <t>Minnesott Beach</t>
  </si>
  <si>
    <t>Misenheimer</t>
  </si>
  <si>
    <t>Mocksville</t>
  </si>
  <si>
    <t>Momeyer</t>
  </si>
  <si>
    <t>Monroe</t>
  </si>
  <si>
    <t>Mooresboro</t>
  </si>
  <si>
    <t>Mooresville</t>
  </si>
  <si>
    <t>Morehead City</t>
  </si>
  <si>
    <t>Morganton</t>
  </si>
  <si>
    <t>Morrisville</t>
  </si>
  <si>
    <t>Morven</t>
  </si>
  <si>
    <t>Mount Airy</t>
  </si>
  <si>
    <t>Mount Gilead</t>
  </si>
  <si>
    <t>Mount Pleasant</t>
  </si>
  <si>
    <t>Murfreesboro</t>
  </si>
  <si>
    <t>Murphy</t>
  </si>
  <si>
    <t>Nags Head</t>
  </si>
  <si>
    <t>Nashville</t>
  </si>
  <si>
    <t>New Bern</t>
  </si>
  <si>
    <t>New London</t>
  </si>
  <si>
    <t>Newland</t>
  </si>
  <si>
    <t>Newton</t>
  </si>
  <si>
    <t>North Topsail Beach</t>
  </si>
  <si>
    <t>North Wilkesboro</t>
  </si>
  <si>
    <t>Northwest</t>
  </si>
  <si>
    <t>Oak Island</t>
  </si>
  <si>
    <t>Oak Ridge</t>
  </si>
  <si>
    <t>Oakboro</t>
  </si>
  <si>
    <t>Ocean Isle Beach</t>
  </si>
  <si>
    <t>Old Fort</t>
  </si>
  <si>
    <t>Oriental</t>
  </si>
  <si>
    <t>Orrum</t>
  </si>
  <si>
    <t>Ossipee</t>
  </si>
  <si>
    <t>Oxford</t>
  </si>
  <si>
    <t>Pantego</t>
  </si>
  <si>
    <t>Parkton</t>
  </si>
  <si>
    <t>Parmele</t>
  </si>
  <si>
    <t>Patterson Springs</t>
  </si>
  <si>
    <t>Peachland</t>
  </si>
  <si>
    <t>Peletier</t>
  </si>
  <si>
    <t>Pembroke</t>
  </si>
  <si>
    <t>Pine Knoll Shores</t>
  </si>
  <si>
    <t>Pine Level</t>
  </si>
  <si>
    <t>Pinebluff</t>
  </si>
  <si>
    <t>Pinehurst</t>
  </si>
  <si>
    <t>Pinetops</t>
  </si>
  <si>
    <t>Pineville</t>
  </si>
  <si>
    <t>Pink Hill</t>
  </si>
  <si>
    <t>Pittsboro</t>
  </si>
  <si>
    <t>Pleasant Garden</t>
  </si>
  <si>
    <t>Polkton</t>
  </si>
  <si>
    <t>Powellsville</t>
  </si>
  <si>
    <t>Princeton</t>
  </si>
  <si>
    <t>Raeford</t>
  </si>
  <si>
    <t>Raleigh</t>
  </si>
  <si>
    <t>Randleman</t>
  </si>
  <si>
    <t>Raynham</t>
  </si>
  <si>
    <t>Red Cross</t>
  </si>
  <si>
    <t>Red Oak</t>
  </si>
  <si>
    <t>Reidsville</t>
  </si>
  <si>
    <t>Rennert</t>
  </si>
  <si>
    <t>Rhodhiss</t>
  </si>
  <si>
    <t>Richlands</t>
  </si>
  <si>
    <t>River Bend</t>
  </si>
  <si>
    <t>Roanoke Rapids</t>
  </si>
  <si>
    <t>Robbinsville</t>
  </si>
  <si>
    <t>Rockwell</t>
  </si>
  <si>
    <t>Rocky Mount</t>
  </si>
  <si>
    <t>Rolesville</t>
  </si>
  <si>
    <t>Roper</t>
  </si>
  <si>
    <t>Rose Hill</t>
  </si>
  <si>
    <t>Roxobel</t>
  </si>
  <si>
    <t>Rural Hall</t>
  </si>
  <si>
    <t>Rutherford College</t>
  </si>
  <si>
    <t>Rutherfordton</t>
  </si>
  <si>
    <t>Salemburg</t>
  </si>
  <si>
    <t>Salisbury</t>
  </si>
  <si>
    <t>Saluda</t>
  </si>
  <si>
    <t>Sandy Creek</t>
  </si>
  <si>
    <t>Sandyfield</t>
  </si>
  <si>
    <t>Sanford</t>
  </si>
  <si>
    <t>Saratoga</t>
  </si>
  <si>
    <t>Sawmills</t>
  </si>
  <si>
    <t>Seaboard</t>
  </si>
  <si>
    <t>Seagrove</t>
  </si>
  <si>
    <t>Selma</t>
  </si>
  <si>
    <t>Seven Devils</t>
  </si>
  <si>
    <t>Seven Springs</t>
  </si>
  <si>
    <t>Severn</t>
  </si>
  <si>
    <t>Shallotte</t>
  </si>
  <si>
    <t>Shelby</t>
  </si>
  <si>
    <t>Simpson</t>
  </si>
  <si>
    <t>Sims</t>
  </si>
  <si>
    <t>Smithfield</t>
  </si>
  <si>
    <t>Southern Pines</t>
  </si>
  <si>
    <t>Southern Shores</t>
  </si>
  <si>
    <t>Southport</t>
  </si>
  <si>
    <t>Sparta</t>
  </si>
  <si>
    <t>Speed</t>
  </si>
  <si>
    <t>Spencer</t>
  </si>
  <si>
    <t>Spindale</t>
  </si>
  <si>
    <t>Spring Hope</t>
  </si>
  <si>
    <t>Spruce Pine</t>
  </si>
  <si>
    <r>
      <rPr>
        <b/>
        <i/>
        <sz val="11"/>
        <rFont val="Calibri"/>
        <family val="2"/>
        <scheme val="minor"/>
      </rPr>
      <t>Payment in Lieu of Taxes Error (cell f27):</t>
    </r>
    <r>
      <rPr>
        <i/>
        <sz val="11"/>
        <rFont val="Calibri"/>
        <family val="2"/>
        <scheme val="minor"/>
      </rPr>
      <t xml:space="preserve">  When the "Actual Pilot" (cell F16) doesn't agree with the "Calculated Pilot" (cell G16) you will get an error message requiring you to investigate variance.</t>
    </r>
  </si>
  <si>
    <t>Less:</t>
  </si>
  <si>
    <t>Encumbrances at June 30 - General Fund (listed in the notes)</t>
  </si>
  <si>
    <t xml:space="preserve">Expenditures: </t>
  </si>
  <si>
    <t>Adjustments:</t>
  </si>
  <si>
    <r>
      <t xml:space="preserve">
In the past, units of government have been grouped by population to evaluate ratios and benchmarking (including Fund Balance Available).  Beginning with fiscal year 2020, we have grouped units by General Fund expenditures for purposes of evaluating the minimum amount of fund balance a unit needs to operate.  A unit's General Fund expenditures proved to be a better correlation to the amount of funds balance needed to operate, especially for units with large higher education or tourism populations. </t>
    </r>
    <r>
      <rPr>
        <b/>
        <sz val="14"/>
        <rFont val="Calibri"/>
        <family val="2"/>
        <scheme val="minor"/>
      </rPr>
      <t xml:space="preserve"> Activity from Debt Service Funds (if applicable) is included in the calculation because these funds typically originate from the General Fund and are transferred to a Debt Service Fund.</t>
    </r>
    <r>
      <rPr>
        <b/>
        <sz val="14"/>
        <color theme="1"/>
        <rFont val="Calibri"/>
        <family val="2"/>
        <scheme val="minor"/>
      </rPr>
      <t xml:space="preserve">
The table below lists the thresholds that are used in the analysis of your unit's fiscal health.  These thresholds were determined based on an analysis of previous years </t>
    </r>
    <r>
      <rPr>
        <b/>
        <sz val="14"/>
        <rFont val="Calibri"/>
        <family val="2"/>
        <scheme val="minor"/>
      </rPr>
      <t xml:space="preserve">general fund activity.  These thresholds will be monitored and updated as applicable. </t>
    </r>
  </si>
  <si>
    <t xml:space="preserve">This indicator shows that the local government did not collect 3% (or more) of its budgeted ad valorem taxes.  This could be an indicator of negative economic events, inaccurate budgeting, and/or issues with the collection process.  Uncollected revenues at the 3% level represent several pennies of the tax rate.  </t>
  </si>
  <si>
    <t>Spencer Mountain</t>
  </si>
  <si>
    <t>Column B</t>
  </si>
  <si>
    <t>Column F</t>
  </si>
  <si>
    <t>Transfers to Electric Capital Projects</t>
  </si>
  <si>
    <t>Percent of</t>
  </si>
  <si>
    <t>Gross Fixed</t>
  </si>
  <si>
    <t>Assets</t>
  </si>
  <si>
    <t>Amount of transfer out of the Electric to the General Fund that is for Payment in Lieu of Taxes (PILOT)</t>
  </si>
  <si>
    <t>Revenue</t>
  </si>
  <si>
    <t>Gross  Annual</t>
  </si>
  <si>
    <t>Amount expended for Powell Bill expenditures in the General Fund</t>
  </si>
  <si>
    <t>Electric Fund Revenue, Expenses &amp; Changes in Fund Net Position</t>
  </si>
  <si>
    <t>Electric Fund Revenue, Expenses &amp; Changes in Fund Net Position or Notes to Financial Statements</t>
  </si>
  <si>
    <t>Water &amp; Sewer Revenue, Expenses &amp; Changes in Fund Net Position</t>
  </si>
  <si>
    <t xml:space="preserve"> Mark to Market unrealized losses in the Electric Fund.</t>
  </si>
  <si>
    <t>Total ARPA funds actually expended since inception as of June 30th.  Do not include encumbered funds in this number.</t>
  </si>
  <si>
    <t>Did your audit disclose as a finding that the unit’s records were not completed by the agreed upon time? (Yes or No)</t>
  </si>
  <si>
    <t>Did your audit disclose as a finding any budget violations? (Yes or No)</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</si>
  <si>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</si>
  <si>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</si>
  <si>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</si>
  <si>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Date (MM/DD/YYYY)</t>
  </si>
  <si>
    <t>Data Collection</t>
  </si>
  <si>
    <t>Unit Number</t>
  </si>
  <si>
    <t>Electric Fund  Transfer Policy</t>
  </si>
  <si>
    <t>NC Municipal Power Agency Number 1</t>
  </si>
  <si>
    <t>G.S. 159B-39</t>
  </si>
  <si>
    <t>subtotal of transfers to other funds</t>
  </si>
  <si>
    <t>Enter Numbers from Current Year Audit</t>
  </si>
  <si>
    <t>Values from Prior Year Audit</t>
  </si>
  <si>
    <t>NC Eastern Municipal Power Agency</t>
  </si>
  <si>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=1 or No= 2</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</si>
  <si>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Yes=1 or No=2</t>
    </r>
  </si>
  <si>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t>
    </r>
  </si>
  <si>
    <t>Trial Balance</t>
  </si>
  <si>
    <t>TD Info Completed by Auditor : CCH acct # 1057</t>
  </si>
  <si>
    <t xml:space="preserve">NC DEPARTMENT OF STATE TREASURER- STATE AND LOCAL GOVERNMENT FINANCE DIVISION
TD Info Completed by Auditor
</t>
  </si>
  <si>
    <t>Please see the INSTRUCTIONS worksheet before completing this form</t>
  </si>
  <si>
    <t>Positive Fund Balance</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</si>
  <si>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</si>
  <si>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Positive Change in Fund Balance</t>
  </si>
  <si>
    <t>The General Fund had total fund balance less than zero - Fund Deficit</t>
  </si>
  <si>
    <t>TD Info Completed by Auditor : CCH acct # 1059</t>
  </si>
  <si>
    <t>Total American Rescue Plan Act (ARPA) of 2021-Coronavrius State &amp; Local Fiscal Recovery Funds actually expended since inception as of June 30th.  Do not include encumbered funds in this number.</t>
  </si>
  <si>
    <t>Total American Rescue Plan Act (ARPA) of 2021-Coronavrius State &amp; Local Fiscal Recovery Funds encumbered or obligated and not yet expended since inception as of June 30th.</t>
  </si>
  <si>
    <t xml:space="preserve">Explanation of Performance Indicator
</t>
  </si>
  <si>
    <t>If the General Fund has more expenditures than revenues because of operational issues and fund balance was appropriated to cover the loss, the continuation of this practice could result in deterioration of a unit's fund balance available.</t>
  </si>
  <si>
    <t>TD Info Completed by Auditor : CCH acct # 1055, 1056, 1058, 955 and 957</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</si>
  <si>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</si>
  <si>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Use of General Fund Balance (account #23)</t>
  </si>
  <si>
    <t>DIW Batch Total</t>
  </si>
  <si>
    <r>
      <t xml:space="preserve">Mark to Market unrealized losses in the Water and Sewer Fund. </t>
    </r>
    <r>
      <rPr>
        <sz val="11"/>
        <color theme="5" tint="-0.499984740745262"/>
        <rFont val="Calibri"/>
        <family val="2"/>
        <scheme val="minor"/>
      </rPr>
      <t>(enter as a negative number)</t>
    </r>
  </si>
  <si>
    <r>
      <t xml:space="preserve"> Mark to Market unrealized losses in the Electric Fund. </t>
    </r>
    <r>
      <rPr>
        <sz val="11"/>
        <color theme="5" tint="-0.499984740745262"/>
        <rFont val="Calibri"/>
        <family val="2"/>
        <scheme val="minor"/>
      </rPr>
      <t>(enter as a negative number)</t>
    </r>
  </si>
  <si>
    <r>
      <t>Electric transfers-out have exceeded the amounts described in GS 159B-39.  If your unit is a member of the North Carolina Eastern Municipal Power Agency it appears you have violated the GS.  
                                                     OR</t>
    </r>
    <r>
      <rPr>
        <b/>
        <u/>
        <sz val="11"/>
        <rFont val="Calibri"/>
        <family val="2"/>
        <scheme val="minor"/>
      </rPr>
      <t xml:space="preserve">
</t>
    </r>
    <r>
      <rPr>
        <b/>
        <sz val="11"/>
        <rFont val="Calibri"/>
        <family val="2"/>
        <scheme val="minor"/>
      </rPr>
      <t xml:space="preserve">If you are not a member of the Eastern Municipal Power Agency it appears that you have violated your unit's transfer policy.
</t>
    </r>
  </si>
  <si>
    <t>Unit Data from Audit Worksheet tab : 9</t>
  </si>
  <si>
    <t>The budgeted ad valorem tax (including motor vehicles) for the General Fund had more than 3% uncollected for the fiscal year audited. Decreases are shown by a negative percentage.</t>
  </si>
  <si>
    <t>Operating Net Income (Loss) excluding depreciation, including debt service principal and interest</t>
  </si>
  <si>
    <t>Prior year CCH accounts 527, 356 and 93 along with current CCH account of this Data Input worksheet 648,366, 990 and 1051 were used in this calculation</t>
  </si>
  <si>
    <t>TD Info Completed by Auditor : CCH acct # 973</t>
  </si>
  <si>
    <r>
      <t>Mark to Market unrealized losses in the General Fund.</t>
    </r>
    <r>
      <rPr>
        <sz val="11"/>
        <color theme="5" tint="-0.499984740745262"/>
        <rFont val="Calibri"/>
        <family val="2"/>
        <scheme val="minor"/>
      </rPr>
      <t xml:space="preserve"> </t>
    </r>
    <r>
      <rPr>
        <sz val="11"/>
        <color theme="9" tint="-0.499984740745262"/>
        <rFont val="Calibri"/>
        <family val="2"/>
        <scheme val="minor"/>
      </rPr>
      <t>(enter as a negative number)</t>
    </r>
  </si>
  <si>
    <t>If unit is an employer participant in one of the State Cost Sharing Plans rows 185 - 187 should be blank.  Unless they have an additional single employer plan.</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</si>
  <si>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</si>
  <si>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r>
      <rPr>
        <b/>
        <i/>
        <sz val="11"/>
        <rFont val="Calibri"/>
        <family val="2"/>
        <scheme val="minor"/>
      </rPr>
      <t>Amount Transferred minus PILOT (cell F18)</t>
    </r>
    <r>
      <rPr>
        <i/>
        <sz val="11"/>
        <rFont val="Calibri"/>
        <family val="2"/>
        <scheme val="minor"/>
      </rPr>
      <t xml:space="preserve"> is calculated by taking the Amount Transferred per Audit (cell F7) and subtracts tranfers to electric capital project funds (cell f8). The calculation then subtracts the greater amount of PILOT (cells F16 or G16). When cell F18 exceeds the statutory calculation in cell F25, you will get an error message "No, unit exceeds limit by:"</t>
    </r>
  </si>
  <si>
    <t># of other matters that auditor asked the unit to respond to</t>
  </si>
  <si>
    <t xml:space="preserve">Unrestricted Cash and Investments </t>
  </si>
  <si>
    <t xml:space="preserve">Restricted cash and investments </t>
  </si>
  <si>
    <t>Total Fund Balance (From Audited Financial Statements) …………………</t>
  </si>
  <si>
    <t>Formula</t>
  </si>
  <si>
    <t>Non Spendable -  Inventory, Prepaids, or Other …………………</t>
  </si>
  <si>
    <t>Restricted - Stabilization by State Statute (From Audited Financial Statements) ……………</t>
  </si>
  <si>
    <t xml:space="preserve">    Negative Debt Refunding</t>
  </si>
  <si>
    <t xml:space="preserve">    Positive Debt Refunding</t>
  </si>
  <si>
    <t xml:space="preserve">          Total Expenditures (As Adjusted) ………………………………...…………………….</t>
  </si>
  <si>
    <t>=532+20+509-533-508</t>
  </si>
  <si>
    <t>Column C Formula</t>
  </si>
  <si>
    <t>Fund Balance Available for Performance Indicator</t>
  </si>
  <si>
    <t>General Fund Cash and investments - restricted…........................................................................................................</t>
  </si>
  <si>
    <t>Debt Service Fund Fund Balance…..................................................................................................................................</t>
  </si>
  <si>
    <t>Liabilities- General Fund…...................................................................................................................................................</t>
  </si>
  <si>
    <t>Gen Fund - Current Liabilities</t>
  </si>
  <si>
    <t>Unavailable or unearned revenues arising from cash receipts - General Fund…............................................................</t>
  </si>
  <si>
    <t>Gen Fund -deferred inflows derived from Cash Receipts</t>
  </si>
  <si>
    <t>Total expenditures - General Fund…................................................................................................................................</t>
  </si>
  <si>
    <t>Transfers out-General Fund…......................................................................................................................................................</t>
  </si>
  <si>
    <t>Gen Fund - Transfer Out</t>
  </si>
  <si>
    <t>Negative Debt Refunding….................................................................................................................................................</t>
  </si>
  <si>
    <t>Issuance of capital leases &amp; installment purchases - General Fund….............................</t>
  </si>
  <si>
    <t>Positive Debt Refunding…...................................................................................................................................................</t>
  </si>
  <si>
    <t>Total expenditures (As Adjusted)….................................................</t>
  </si>
  <si>
    <t>Fund Balance Available  as % of Expenditures….........</t>
  </si>
  <si>
    <t>Fund Balance Available for Appropriation/Total Expenditure (As Adjusted)</t>
  </si>
  <si>
    <t>General Fund Cash and investments - unrestricted…........................................................................................................</t>
  </si>
  <si>
    <t>Powell Bill Expenditures</t>
  </si>
  <si>
    <t>Fund Balance Available</t>
  </si>
  <si>
    <t>=532+20+509-533-508-1050</t>
  </si>
  <si>
    <t>Excluding Powell Bill Restricted Cash</t>
  </si>
  <si>
    <t xml:space="preserve">Calculation of Fund Balance Available at June 30 
Including Debt Service Fund for Performance Indicator
</t>
  </si>
  <si>
    <t>Account Number</t>
  </si>
  <si>
    <t xml:space="preserve"> Are the  ARPA-related funds on target to be committed by December 31, 2024 (Yes or No)</t>
  </si>
  <si>
    <t>Total ARPA funds committed and not yet expended since inception as of June 30th</t>
  </si>
  <si>
    <t>Are the  ARPA-related funds on target to be completely expended by December 31, 2026 (Yes or No)</t>
  </si>
  <si>
    <t xml:space="preserve"> Did your audit disclose as a finding bank reconciliations or subsidiary ledger reconciliations not performed timely (Yes or No)</t>
  </si>
  <si>
    <t>Did your audit disclose as a finding that the unit’s records were not completed by the agreed upon time (Yes or No)</t>
  </si>
  <si>
    <t>Did your audit disclose as a finding any statutory violations (not including budget violations) (Yes or No)</t>
  </si>
  <si>
    <t>Please enter the Total Fund Balance for any Debt Service Funds from the Budgeted to Actual statement</t>
  </si>
  <si>
    <t>Unit Data from Audit Worksheet tab: (506+536-4-5-6-11+647)/(532+509+20-533-508-1050)</t>
  </si>
  <si>
    <t>GF FBA% of Exp w/o Powell Bill Formula: (506+536-4-5-6-11+647)/(532+20+509-533-508)</t>
  </si>
  <si>
    <t>Mark to Market unrealized losses in the General Fund</t>
  </si>
  <si>
    <t>Mark to Market unrealized losses in the Water and Sewer Fund</t>
  </si>
  <si>
    <t>=506+536-4-6-5</t>
  </si>
  <si>
    <t>=9-(506+536-4-6-5)</t>
  </si>
  <si>
    <t>=9-(506+536-4-6-5)-7</t>
  </si>
  <si>
    <t>Column E Formula</t>
  </si>
  <si>
    <t>=506-4-6-5</t>
  </si>
  <si>
    <r>
      <t xml:space="preserve">Telephone number - </t>
    </r>
    <r>
      <rPr>
        <b/>
        <sz val="11"/>
        <color theme="1"/>
        <rFont val="Calibri"/>
        <family val="2"/>
        <scheme val="minor"/>
      </rPr>
      <t>enter only telephone number</t>
    </r>
    <r>
      <rPr>
        <sz val="11"/>
        <color theme="1"/>
        <rFont val="Calibri"/>
        <family val="2"/>
        <scheme val="minor"/>
      </rPr>
      <t xml:space="preserve"> ###-###-####</t>
    </r>
  </si>
  <si>
    <t>Enter telephone extension, etc.</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</si>
  <si>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</si>
  <si>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Indicate if your water/sewer system:
50 - Became Operational
51 - Ceased Operations
52 - No Change
</t>
    </r>
    <r>
      <rPr>
        <b/>
        <sz val="11"/>
        <color theme="1"/>
        <rFont val="Calibri"/>
        <family val="2"/>
        <scheme val="minor"/>
      </rPr>
      <t>Select from drop down.</t>
    </r>
  </si>
  <si>
    <r>
      <t xml:space="preserve">Do you use prepared food/occupancy tax revenue stream to support debt?  </t>
    </r>
    <r>
      <rPr>
        <b/>
        <sz val="11"/>
        <color theme="1"/>
        <rFont val="Calibri"/>
        <family val="2"/>
        <scheme val="minor"/>
      </rPr>
      <t>Select "1" for Yes and "2" for No</t>
    </r>
    <r>
      <rPr>
        <sz val="11"/>
        <color theme="1"/>
        <rFont val="Calibri"/>
        <family val="2"/>
        <scheme val="minor"/>
      </rPr>
      <t xml:space="preserve"> from drop down list.</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</si>
  <si>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drop down list.</t>
    </r>
    <r>
      <rPr>
        <sz val="11"/>
        <color theme="1"/>
        <rFont val="Calibri"/>
        <family val="2"/>
        <scheme val="minor"/>
      </rPr>
      <t xml:space="preserve">
</t>
    </r>
  </si>
  <si>
    <r>
      <t xml:space="preserve">Do you expect to issue debt requiring LGC approval within 12 months from the date that the audit is submitted - </t>
    </r>
    <r>
      <rPr>
        <b/>
        <sz val="11"/>
        <color theme="1"/>
        <rFont val="Calibri"/>
        <family val="2"/>
        <scheme val="minor"/>
      </rPr>
      <t>select "1" for yes and "2" for no</t>
    </r>
  </si>
  <si>
    <t>Other Electricity</t>
  </si>
  <si>
    <t>Suzanne</t>
  </si>
  <si>
    <t>Hewett</t>
  </si>
  <si>
    <t>Lewis</t>
  </si>
  <si>
    <t>Holland</t>
  </si>
  <si>
    <t>Wells</t>
  </si>
  <si>
    <t>Moore</t>
  </si>
  <si>
    <t>1/1/2005</t>
  </si>
  <si>
    <t>White</t>
  </si>
  <si>
    <t>Interim Finance Officer</t>
  </si>
  <si>
    <t>This calculation subtracts operating expenses  from operating revenues. Depreciation expense is not included the calculation but debt principal and interest payments are included.  A negative balance indicates that your rates are not covering your operating expenses and debt service payments.</t>
  </si>
  <si>
    <t xml:space="preserve">This calculation subtracts operating expenses  from operating revenues. Depreciation expense is not included the calculation but debt principal and interest payments are included.  A negative balance indicates that your rates are not covering your operating expenses.  </t>
  </si>
  <si>
    <t>Unit Data from Audit Worksheet tab : 84-85+49-331-89</t>
  </si>
  <si>
    <t>Unit Data from Audit worksheet tab : 93-94+52-100-98</t>
  </si>
  <si>
    <t>Unit Data from Audit worksheet tab : 90/(364+94-52+100)</t>
  </si>
  <si>
    <t>Unit Data from Audit worksheet tab : 80/(85+351-49+331)</t>
  </si>
  <si>
    <t>Capital Assets for Water and Sewer Activity (If unit maintains separate funds please combine all water, sewer and wastewater funds into one activity for purposes of this worksheet)
Exclude Stormwater funds</t>
  </si>
  <si>
    <t xml:space="preserve"> Did the unit have a board-appointed finance officer or board-appointed interim finance officer for the entire fiscal year (Yes or No)</t>
  </si>
  <si>
    <t>Has the finance officer or interim finance officer been formally appointed by the local government, public authority, or designated official?  (Y/N)</t>
  </si>
  <si>
    <t>TD Info Completed by Auditor : CCH acct # 1067</t>
  </si>
  <si>
    <t>Section 2:</t>
  </si>
  <si>
    <t xml:space="preserve">Does the unit have a self-insurance fund? </t>
  </si>
  <si>
    <t>Does the unit have a self-insurance fund</t>
  </si>
  <si>
    <t>American Rescue Plan Act (ARPA)</t>
  </si>
  <si>
    <t>Unrestricted cash /total expenses excluding depreciation, including debt service principal</t>
  </si>
  <si>
    <t xml:space="preserve">Is there is a going concern noted in the audit report? </t>
  </si>
  <si>
    <r>
      <t xml:space="preserve">Number of </t>
    </r>
    <r>
      <rPr>
        <b/>
        <sz val="11"/>
        <color theme="1"/>
        <rFont val="Calibri"/>
        <family val="2"/>
        <scheme val="minor"/>
      </rPr>
      <t>significant deficiency</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</si>
  <si>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t>If the unit is self-insured for employee health care, does the unit use a qualified consultant to establish rates and appropriate reserve levels?</t>
  </si>
  <si>
    <t>If the unit is self-insured for employee health care, does the unit use a qualified consultant to establish rates and appropriate reserve levels</t>
  </si>
  <si>
    <r>
      <t xml:space="preserve">Number of </t>
    </r>
    <r>
      <rPr>
        <b/>
        <sz val="11"/>
        <color theme="1"/>
        <rFont val="Calibri"/>
        <family val="2"/>
        <scheme val="minor"/>
      </rPr>
      <t>material weakness</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</si>
  <si>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t>Transfers from General Fund to Water and Sewer Fund</t>
  </si>
  <si>
    <t>Transfers from Water and Sewer to General Fund</t>
  </si>
  <si>
    <r>
      <t xml:space="preserve">The Unit had material weaknesses, significant deficiencies, statutory violations and/or items identified on the </t>
    </r>
    <r>
      <rPr>
        <b/>
        <i/>
        <sz val="11"/>
        <rFont val="Calibri"/>
        <family val="2"/>
        <scheme val="minor"/>
      </rPr>
      <t>TD Info Completed by Auditor</t>
    </r>
    <r>
      <rPr>
        <b/>
        <sz val="11"/>
        <rFont val="Calibri"/>
        <family val="2"/>
        <scheme val="minor"/>
      </rPr>
      <t xml:space="preserve"> tab that should be addressed in the FPIC Response Letter.  </t>
    </r>
  </si>
  <si>
    <t>This is a description question that is retained on the data input tab - This information is not uploaded to CCH or our data base</t>
  </si>
  <si>
    <t>Capital -</t>
  </si>
  <si>
    <t>Operations -</t>
  </si>
  <si>
    <t>WS-Please enter any pension liabilities that are classified as current liabilities and included in account 633 above (amounts entered should agree to the current amount included in the changes to long-term debt note)</t>
  </si>
  <si>
    <t>WS-Please enter any current liabilities that are payable from restricted assets and included row 12 above (amounts entered should agree to the current amount included in the changes to long-term debt note)</t>
  </si>
  <si>
    <t>WS-Please enter any OPEB liabilities that are classified as current liabilities and included in account 633 above (amounts entered should agree to the current amount included in the changes to long-term debt note)</t>
  </si>
  <si>
    <t xml:space="preserve">Electric-Current liabilities (as reported on the Statement of Fund Net Position)
Include:   Current liabilities including current portion of long-term debt.  Deferred inflows should not be included in Current Liabilities  
</t>
  </si>
  <si>
    <t>Electric-Please enter any bond anticipation notes that are classified as current liabilities and included in account 639 above (amounts entered should agree to the current amount included in the changes to long-term debt note)</t>
  </si>
  <si>
    <t>Electric-Please enter any compensated absences that are classified as current liabilities and included in account 639 above (amounts entered should agree to the current amount included in the changes to long-term debt note)</t>
  </si>
  <si>
    <t>Electric-Please enter any pension liabilities that are classified as current liabilities and included account in 639 above (amounts entered should agree to the current amount included in the changes to long-term debt note)</t>
  </si>
  <si>
    <t>Electric-Please enter any current liabilities that are payable from restricted assets and included in account 639 above.</t>
  </si>
  <si>
    <t>Electric-Please enter any OPEB liabilities that are classified as current liabilities and included in account 639 above (amounts entered should agree to the current amount included in the changes to long-term debt note)</t>
  </si>
  <si>
    <t>Antwan</t>
  </si>
  <si>
    <t>David</t>
  </si>
  <si>
    <t>Guy</t>
  </si>
  <si>
    <t>Morrison</t>
  </si>
  <si>
    <t>Miller</t>
  </si>
  <si>
    <t>Taylor</t>
  </si>
  <si>
    <t>7/1/2022</t>
  </si>
  <si>
    <t>9/8/2022</t>
  </si>
  <si>
    <t>yes</t>
  </si>
  <si>
    <t>TOWN CLERK</t>
  </si>
  <si>
    <t>2/14/2023</t>
  </si>
  <si>
    <t>10/27/2022</t>
  </si>
  <si>
    <t>1/4/2023</t>
  </si>
  <si>
    <t>11/22/2022</t>
  </si>
  <si>
    <t>11/14/2022</t>
  </si>
  <si>
    <t>11/30/2022</t>
  </si>
  <si>
    <t>12/19/2022</t>
  </si>
  <si>
    <t>10/7/2022</t>
  </si>
  <si>
    <t>10/20/2022</t>
  </si>
  <si>
    <t>10/14/2022</t>
  </si>
  <si>
    <t>10/31/2022</t>
  </si>
  <si>
    <t>12/20/2022</t>
  </si>
  <si>
    <t>11/3/2022</t>
  </si>
  <si>
    <t>11/28/2022</t>
  </si>
  <si>
    <t>12/1/2022</t>
  </si>
  <si>
    <t>1/27/2023</t>
  </si>
  <si>
    <t>10/28/2022</t>
  </si>
  <si>
    <t>11/29/2022</t>
  </si>
  <si>
    <t>2/27/2023</t>
  </si>
  <si>
    <t>11/17/2022</t>
  </si>
  <si>
    <t>5/11/2023</t>
  </si>
  <si>
    <t>12/8/2022</t>
  </si>
  <si>
    <t>Number of other matters that auditor asked the unit to respond to.</t>
  </si>
  <si>
    <t>3/6/2023</t>
  </si>
  <si>
    <t>12/13/2022</t>
  </si>
  <si>
    <t>1/10/2023</t>
  </si>
  <si>
    <t>2/15/2023</t>
  </si>
  <si>
    <t>11/15/2022</t>
  </si>
  <si>
    <t>12/12/2022</t>
  </si>
  <si>
    <t>1/31/2023</t>
  </si>
  <si>
    <t>5/1/2023</t>
  </si>
  <si>
    <t>1/3/2023</t>
  </si>
  <si>
    <t>12/5/2022</t>
  </si>
  <si>
    <t>12/6/2022</t>
  </si>
  <si>
    <t>1/16/2023</t>
  </si>
  <si>
    <t>10/17/2022</t>
  </si>
  <si>
    <t>11/21/2022</t>
  </si>
  <si>
    <t>Amount transferred from the Electric Fund to an Electric Capital Project Fund</t>
  </si>
  <si>
    <t>Mark to Market unrealized losses in the General Fund.</t>
  </si>
  <si>
    <t>Mark to Market unrealized losses in the Water and Sewer Fund.</t>
  </si>
  <si>
    <t>Mark to Market unrealized losses in the Electric Fund.</t>
  </si>
  <si>
    <t>Did your audit disclose as a finding bank reconciliations or subsidiary ledger reconciliations not performed timely? (Yes or No)</t>
  </si>
  <si>
    <t>Did your audit disclose as a finding that the unitGÇÖs records were not completed by the agreed upon time? (Yes or No)</t>
  </si>
  <si>
    <t>Did the unit have a board-appointed finance officer the entire fiscal year? (Yes or No)?</t>
  </si>
  <si>
    <t>Total ARPA funds actually expended since inception as of June 30th. -áDo not include encumbered funds in this number.</t>
  </si>
  <si>
    <t>Total ARPA funds committed and not yet expended since inception as of June 30th.</t>
  </si>
  <si>
    <t>Are the-á ARPA-related funds on target to be committed by December 31, 2024? (Yes or No)</t>
  </si>
  <si>
    <t>Are the-á ARPA-related funds on target to be completely expended by December 31, 2026? (Yes or No)</t>
  </si>
  <si>
    <t>Single Audit Only - Coronavirus State and Local Recovery Funds expenditures (21.027)</t>
  </si>
  <si>
    <t>Single Audit Only - Opioid Settlement Funds</t>
  </si>
  <si>
    <t>Date Audit First Received</t>
  </si>
  <si>
    <t>2022-10-28</t>
  </si>
  <si>
    <t>2022-10-27</t>
  </si>
  <si>
    <t>2022-11-29</t>
  </si>
  <si>
    <t>2022-11-30</t>
  </si>
  <si>
    <t>2022-11-10</t>
  </si>
  <si>
    <t>2022-10-14</t>
  </si>
  <si>
    <t>2022-10-31</t>
  </si>
  <si>
    <t>2022-11-07</t>
  </si>
  <si>
    <t>2022-11-28</t>
  </si>
  <si>
    <t>2022-10-13</t>
  </si>
  <si>
    <t>2022-12-01</t>
  </si>
  <si>
    <t>2022-10-17</t>
  </si>
  <si>
    <t>2022-11-14</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</si>
  <si>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</si>
  <si>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</si>
  <si>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</si>
  <si>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</si>
  <si>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sum</t>
  </si>
  <si>
    <t>Net Total row 279 less row 326</t>
  </si>
  <si>
    <t>New Account 647 for FY 2020 added to formula and new account 1050 added FY 2022</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</si>
  <si>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</si>
  <si>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r>
      <t>Fund balance available for appropriation is an important reserve for local governments to provide cash flow during pe</t>
    </r>
    <r>
      <rPr>
        <sz val="12"/>
        <rFont val="Calibri"/>
        <family val="2"/>
        <scheme val="minor"/>
      </rPr>
      <t xml:space="preserve">riods of declining revenues and to be used for emergencies and unforeseen expenditures.  The information to the left indicates the amount of available cash on hand.  You will also see the average for units of your size. </t>
    </r>
    <r>
      <rPr>
        <b/>
        <sz val="12"/>
        <rFont val="Calibri"/>
        <family val="2"/>
        <scheme val="minor"/>
      </rPr>
      <t xml:space="preserve"> Note that 8.33% represents enough fund balance to cover only one month of expenditures.</t>
    </r>
    <r>
      <rPr>
        <sz val="12"/>
        <rFont val="Calibri"/>
        <family val="2"/>
        <scheme val="minor"/>
      </rPr>
      <t xml:space="preserve">  Normally, a unit has to either increase revenues or decrease expenditures to increase fund balance available. 
This calculation looks at fund balance available plus debt service fund balance (if applicable) </t>
    </r>
    <r>
      <rPr>
        <sz val="12"/>
        <color theme="1"/>
        <rFont val="Calibri"/>
        <family val="2"/>
        <scheme val="minor"/>
      </rPr>
      <t xml:space="preserve">less Powell Bill </t>
    </r>
    <r>
      <rPr>
        <sz val="12"/>
        <rFont val="Calibri"/>
        <family val="2"/>
        <scheme val="minor"/>
      </rPr>
      <t>restricted fund balance</t>
    </r>
    <r>
      <rPr>
        <sz val="12"/>
        <color rgb="FFFF0000"/>
        <rFont val="Calibri"/>
        <family val="2"/>
        <scheme val="minor"/>
      </rPr>
      <t>.</t>
    </r>
    <r>
      <rPr>
        <sz val="12"/>
        <color theme="1"/>
        <rFont val="Calibri"/>
        <family val="2"/>
        <scheme val="minor"/>
      </rPr>
      <t xml:space="preserve">  This number is them divided by the total of total expenditures plus transfers out less bond proceeds and less amount expended for Powell Bill Expenditures.
</t>
    </r>
  </si>
  <si>
    <t>2021-2022</t>
  </si>
  <si>
    <t xml:space="preserve">CABARRUS </t>
  </si>
  <si>
    <t>Cabarrus County</t>
  </si>
  <si>
    <t xml:space="preserve">CARTERET </t>
  </si>
  <si>
    <t>Carteret County</t>
  </si>
  <si>
    <t xml:space="preserve">EDGECOMBE </t>
  </si>
  <si>
    <t xml:space="preserve">FRANKLIN </t>
  </si>
  <si>
    <t>Franklin County</t>
  </si>
  <si>
    <t xml:space="preserve">GRANVILLE </t>
  </si>
  <si>
    <t>Granville County</t>
  </si>
  <si>
    <t xml:space="preserve">HALIFAX </t>
  </si>
  <si>
    <t>Halifax County</t>
  </si>
  <si>
    <t xml:space="preserve">NASH </t>
  </si>
  <si>
    <t>Nash County</t>
  </si>
  <si>
    <t xml:space="preserve">PERQUIMANS </t>
  </si>
  <si>
    <t>Perquimans County</t>
  </si>
  <si>
    <t xml:space="preserve">PITT </t>
  </si>
  <si>
    <t>Pitt County</t>
  </si>
  <si>
    <t xml:space="preserve">RICHMOND </t>
  </si>
  <si>
    <t>Richmond County</t>
  </si>
  <si>
    <t xml:space="preserve">ROBESON </t>
  </si>
  <si>
    <t>Robeson County</t>
  </si>
  <si>
    <t xml:space="preserve">ROCKINGHAM </t>
  </si>
  <si>
    <t>Rockingham County</t>
  </si>
  <si>
    <t xml:space="preserve">VANCE </t>
  </si>
  <si>
    <t>Vance County</t>
  </si>
  <si>
    <t xml:space="preserve">WAKE </t>
  </si>
  <si>
    <t>Wake County</t>
  </si>
  <si>
    <t xml:space="preserve">WILSON </t>
  </si>
  <si>
    <t>Wilson County</t>
  </si>
  <si>
    <t xml:space="preserve">ALAMANCE </t>
  </si>
  <si>
    <t>Alamance County</t>
  </si>
  <si>
    <t xml:space="preserve">ALEXANDER </t>
  </si>
  <si>
    <t>Alexander County</t>
  </si>
  <si>
    <t xml:space="preserve">ALLEGHANY  </t>
  </si>
  <si>
    <t>Alleghany County</t>
  </si>
  <si>
    <t xml:space="preserve">ANSON </t>
  </si>
  <si>
    <t xml:space="preserve">ASHE </t>
  </si>
  <si>
    <t>Ashe County</t>
  </si>
  <si>
    <t xml:space="preserve">AVERY </t>
  </si>
  <si>
    <t>Avery County</t>
  </si>
  <si>
    <t xml:space="preserve">BEAUFORT </t>
  </si>
  <si>
    <t>Beaufort County</t>
  </si>
  <si>
    <t xml:space="preserve">BERTIE </t>
  </si>
  <si>
    <t xml:space="preserve">BLADEN </t>
  </si>
  <si>
    <t>Bladen County</t>
  </si>
  <si>
    <t xml:space="preserve">BRUNSWICK </t>
  </si>
  <si>
    <t>Brunswick County</t>
  </si>
  <si>
    <t xml:space="preserve">BUNCOMBE </t>
  </si>
  <si>
    <t>Buncombe County</t>
  </si>
  <si>
    <t xml:space="preserve">BURKE </t>
  </si>
  <si>
    <t>Burke County</t>
  </si>
  <si>
    <t xml:space="preserve">CALDWELL </t>
  </si>
  <si>
    <t>Caldwell County</t>
  </si>
  <si>
    <t xml:space="preserve">CAMDEN </t>
  </si>
  <si>
    <t>Camden County</t>
  </si>
  <si>
    <t xml:space="preserve">CASWELL </t>
  </si>
  <si>
    <t xml:space="preserve">CATAWBA </t>
  </si>
  <si>
    <t>Catawba County</t>
  </si>
  <si>
    <t xml:space="preserve">CHATHAM </t>
  </si>
  <si>
    <t>Chatham County</t>
  </si>
  <si>
    <t xml:space="preserve">CHEROKEE </t>
  </si>
  <si>
    <t xml:space="preserve">CHOWAN </t>
  </si>
  <si>
    <t>Chowan County</t>
  </si>
  <si>
    <t xml:space="preserve">CLAY </t>
  </si>
  <si>
    <t>Clay County</t>
  </si>
  <si>
    <t xml:space="preserve">CLEVELAND </t>
  </si>
  <si>
    <t>Cleveland County</t>
  </si>
  <si>
    <t xml:space="preserve">COLUMBUS </t>
  </si>
  <si>
    <t xml:space="preserve">CRAVEN </t>
  </si>
  <si>
    <t>Craven County</t>
  </si>
  <si>
    <t xml:space="preserve">CUMBERLAND </t>
  </si>
  <si>
    <t>Cumberland County</t>
  </si>
  <si>
    <t xml:space="preserve">CURRITUCK </t>
  </si>
  <si>
    <t>Currituck County</t>
  </si>
  <si>
    <t xml:space="preserve">DARE </t>
  </si>
  <si>
    <t>Dare County</t>
  </si>
  <si>
    <t xml:space="preserve">DAVIDSON </t>
  </si>
  <si>
    <t>Davidson County</t>
  </si>
  <si>
    <t xml:space="preserve">DAVIE </t>
  </si>
  <si>
    <t>Davie County</t>
  </si>
  <si>
    <t xml:space="preserve">DUPLIN </t>
  </si>
  <si>
    <t>Duplin County</t>
  </si>
  <si>
    <t xml:space="preserve">DURHAM </t>
  </si>
  <si>
    <t>Durham County</t>
  </si>
  <si>
    <t xml:space="preserve">FORSYTH </t>
  </si>
  <si>
    <t>Forsyth County</t>
  </si>
  <si>
    <t xml:space="preserve">GASTON </t>
  </si>
  <si>
    <t>Gaston County</t>
  </si>
  <si>
    <t xml:space="preserve">GATES </t>
  </si>
  <si>
    <t>Gates County</t>
  </si>
  <si>
    <t xml:space="preserve">GRAHAM </t>
  </si>
  <si>
    <t>Graham County</t>
  </si>
  <si>
    <t xml:space="preserve">GREENE </t>
  </si>
  <si>
    <t>Greene County</t>
  </si>
  <si>
    <t xml:space="preserve">GUILFORD </t>
  </si>
  <si>
    <t>Guilford County</t>
  </si>
  <si>
    <t xml:space="preserve">HARNETT </t>
  </si>
  <si>
    <t>Harnett County</t>
  </si>
  <si>
    <t xml:space="preserve">HAYWOOD </t>
  </si>
  <si>
    <t>Haywood County</t>
  </si>
  <si>
    <t xml:space="preserve">HENDERSON </t>
  </si>
  <si>
    <t>Henderson County</t>
  </si>
  <si>
    <t xml:space="preserve">HERTFORD </t>
  </si>
  <si>
    <t>Hertford County</t>
  </si>
  <si>
    <t xml:space="preserve">HOKE </t>
  </si>
  <si>
    <t>Hoke County</t>
  </si>
  <si>
    <t xml:space="preserve">HYDE </t>
  </si>
  <si>
    <t xml:space="preserve">IREDELL </t>
  </si>
  <si>
    <t>Iredell County</t>
  </si>
  <si>
    <t xml:space="preserve">JACKSON </t>
  </si>
  <si>
    <t>Jackson County</t>
  </si>
  <si>
    <t xml:space="preserve">JOHNSTON </t>
  </si>
  <si>
    <t>Johnston County</t>
  </si>
  <si>
    <t xml:space="preserve">JONES </t>
  </si>
  <si>
    <t>Jones County</t>
  </si>
  <si>
    <t xml:space="preserve">LEE </t>
  </si>
  <si>
    <t>Lee County</t>
  </si>
  <si>
    <t xml:space="preserve">LENOIR </t>
  </si>
  <si>
    <t>Lenoir County</t>
  </si>
  <si>
    <t xml:space="preserve">LINCOLN </t>
  </si>
  <si>
    <t>Lincoln County</t>
  </si>
  <si>
    <t xml:space="preserve">MACON </t>
  </si>
  <si>
    <t>Macon County</t>
  </si>
  <si>
    <t xml:space="preserve">MADISON </t>
  </si>
  <si>
    <t>Madison County</t>
  </si>
  <si>
    <t xml:space="preserve">MARTIN </t>
  </si>
  <si>
    <t xml:space="preserve">MCDOWELL </t>
  </si>
  <si>
    <t>Mcdowell County</t>
  </si>
  <si>
    <t xml:space="preserve">MECKLENBURG </t>
  </si>
  <si>
    <t>Mecklenburg County</t>
  </si>
  <si>
    <t xml:space="preserve">MITCHELL </t>
  </si>
  <si>
    <t>Mitchell County</t>
  </si>
  <si>
    <t xml:space="preserve">MONTGOMERY </t>
  </si>
  <si>
    <t>Montgomery County</t>
  </si>
  <si>
    <t xml:space="preserve">MOORE </t>
  </si>
  <si>
    <t>Moore County</t>
  </si>
  <si>
    <t xml:space="preserve">NEW HANOVER </t>
  </si>
  <si>
    <t>New Hanover County</t>
  </si>
  <si>
    <t xml:space="preserve">NORTHAMPTON </t>
  </si>
  <si>
    <t xml:space="preserve">ONSLOW </t>
  </si>
  <si>
    <t>Onslow County</t>
  </si>
  <si>
    <t xml:space="preserve">ORANGE </t>
  </si>
  <si>
    <t>Orange County</t>
  </si>
  <si>
    <t xml:space="preserve">PAMLICO </t>
  </si>
  <si>
    <t>Pamlico County</t>
  </si>
  <si>
    <t xml:space="preserve">PASQUOTANK </t>
  </si>
  <si>
    <t>Pasquotank County</t>
  </si>
  <si>
    <t xml:space="preserve">PENDER </t>
  </si>
  <si>
    <t xml:space="preserve">PERSON </t>
  </si>
  <si>
    <t>Person County</t>
  </si>
  <si>
    <t xml:space="preserve">POLK </t>
  </si>
  <si>
    <t>Polk County</t>
  </si>
  <si>
    <t xml:space="preserve">RANDOLPH </t>
  </si>
  <si>
    <t>Randolph County</t>
  </si>
  <si>
    <t xml:space="preserve">ROWAN </t>
  </si>
  <si>
    <t>Rowan County</t>
  </si>
  <si>
    <t xml:space="preserve">RUTHERFORD </t>
  </si>
  <si>
    <t>Rutherford County</t>
  </si>
  <si>
    <t xml:space="preserve">SAMPSON </t>
  </si>
  <si>
    <t>Sampson County</t>
  </si>
  <si>
    <t xml:space="preserve">SCOTLAND </t>
  </si>
  <si>
    <t xml:space="preserve">STANLY </t>
  </si>
  <si>
    <t>Stanly County</t>
  </si>
  <si>
    <t xml:space="preserve">STOKES </t>
  </si>
  <si>
    <t>Stokes County</t>
  </si>
  <si>
    <t xml:space="preserve">SURRY </t>
  </si>
  <si>
    <t>Surry County</t>
  </si>
  <si>
    <t xml:space="preserve">SWAIN </t>
  </si>
  <si>
    <t>Swain County</t>
  </si>
  <si>
    <t xml:space="preserve">TRANSYLVANIA </t>
  </si>
  <si>
    <t>Transylvania County</t>
  </si>
  <si>
    <t xml:space="preserve">TYRRELL </t>
  </si>
  <si>
    <t xml:space="preserve">UNION </t>
  </si>
  <si>
    <t>Union County</t>
  </si>
  <si>
    <t xml:space="preserve">WARREN </t>
  </si>
  <si>
    <t>Warren County</t>
  </si>
  <si>
    <t xml:space="preserve">WASHINGTON </t>
  </si>
  <si>
    <t>Washington County</t>
  </si>
  <si>
    <t xml:space="preserve">WATAUGA </t>
  </si>
  <si>
    <t>Watauga County</t>
  </si>
  <si>
    <t xml:space="preserve">WAYNE </t>
  </si>
  <si>
    <t>Wayne County</t>
  </si>
  <si>
    <t xml:space="preserve">WILKES </t>
  </si>
  <si>
    <t>Wilkes County</t>
  </si>
  <si>
    <t xml:space="preserve">YADKIN </t>
  </si>
  <si>
    <t>Yadkin County</t>
  </si>
  <si>
    <t xml:space="preserve">YANCEY </t>
  </si>
  <si>
    <t>Yancey County</t>
  </si>
  <si>
    <t>`</t>
  </si>
  <si>
    <r>
      <t xml:space="preserve">Transfers from General Fund to Water and Sewer Fund.  </t>
    </r>
    <r>
      <rPr>
        <sz val="11"/>
        <color theme="5" tint="-0.249977111117893"/>
        <rFont val="Calibri"/>
        <family val="2"/>
        <scheme val="minor"/>
      </rPr>
      <t>(Enter as positive)</t>
    </r>
  </si>
  <si>
    <r>
      <t xml:space="preserve">Transfers from Water and Sewer to General Fund.  </t>
    </r>
    <r>
      <rPr>
        <sz val="11"/>
        <color theme="5" tint="-0.249977111117893"/>
        <rFont val="Calibri"/>
        <family val="2"/>
        <scheme val="minor"/>
      </rPr>
      <t>(Enter as positive)</t>
    </r>
  </si>
  <si>
    <t xml:space="preserve">Was an AU-C Section 260 (The Auditor's Communication With Those Charged With Governance) letter issued?     </t>
  </si>
  <si>
    <r>
      <t xml:space="preserve">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
    </r>
    <r>
      <rPr>
        <b/>
        <sz val="12"/>
        <color theme="1"/>
        <rFont val="Calibri"/>
        <family val="2"/>
        <scheme val="minor"/>
      </rPr>
      <t xml:space="preserve"> This 16% would be the bare minimum necessary to keep the fund from experiencing cash flow issues.</t>
    </r>
  </si>
  <si>
    <t>Water and Sewer - Fund Revenue, Expenses &amp; Changes in Fund Net Position or Notes to Financial Statements</t>
  </si>
  <si>
    <t>Was an AU-C Section 265 (Communicating Internal Control Related Matters Identified in an Audit) letter issued?</t>
  </si>
  <si>
    <r>
      <t xml:space="preserve">This indicator identifies whether the unit has any material weaknesses, significant deficiencies, management letter comments or items identified on the </t>
    </r>
    <r>
      <rPr>
        <b/>
        <i/>
        <sz val="14"/>
        <color theme="1"/>
        <rFont val="Calibri"/>
        <family val="2"/>
        <scheme val="minor"/>
      </rPr>
      <t>TD Info Completed by Audit tab</t>
    </r>
    <r>
      <rPr>
        <b/>
        <sz val="14"/>
        <color theme="1"/>
        <rFont val="Calibri"/>
        <family val="2"/>
        <scheme val="minor"/>
      </rPr>
      <t xml:space="preserve"> including 1055, 1056, 1058, 955 and 957, that require a response.</t>
    </r>
  </si>
  <si>
    <t>This indicator advises whether or not the unit has issues with debt service payments or bond covenants.</t>
  </si>
  <si>
    <t>This indicator advises if any other issues that the unit should address in the FPIC response letter.</t>
  </si>
  <si>
    <t>GF FBA% of Exp w/o Powell Bill Formula: (506+536-4-5-6-11+647)/(532+20+509-533-508-1050)</t>
  </si>
  <si>
    <t>This indicator advises if there were electric transfers in violation of G.S. 159B-39 or in violation of the unit's transfer policy.</t>
  </si>
  <si>
    <r>
      <rPr>
        <u/>
        <sz val="11"/>
        <rFont val="Calibri"/>
        <family val="2"/>
        <scheme val="minor"/>
      </rPr>
      <t xml:space="preserve">Please enter the </t>
    </r>
    <r>
      <rPr>
        <b/>
        <u/>
        <sz val="11"/>
        <rFont val="Calibri"/>
        <family val="2"/>
        <scheme val="minor"/>
      </rPr>
      <t xml:space="preserve">Net Current year's levy for property </t>
    </r>
    <r>
      <rPr>
        <b/>
        <u/>
        <sz val="11"/>
        <color rgb="FFFF0000"/>
        <rFont val="Calibri"/>
        <family val="2"/>
        <scheme val="minor"/>
      </rPr>
      <t>excluding registered motor vehicles</t>
    </r>
    <r>
      <rPr>
        <sz val="11"/>
        <rFont val="Calibri"/>
        <family val="2"/>
        <scheme val="minor"/>
      </rPr>
      <t xml:space="preserve">-- </t>
    </r>
    <r>
      <rPr>
        <sz val="11"/>
        <color indexed="60"/>
        <rFont val="Calibri"/>
        <family val="2"/>
        <scheme val="minor"/>
      </rPr>
      <t xml:space="preserve">(after adjusting for discoveries and abatements) - </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</si>
  <si>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 xml:space="preserve"> Did your audit disclose bank reconciliations or subsidiary ledger reconciliations not performed timely? (Yes or No)</t>
  </si>
  <si>
    <t>=506+536+647-11-4-6-5</t>
  </si>
  <si>
    <r>
      <t xml:space="preserve">Does the Unit have a non-state administered pension plan?
</t>
    </r>
    <r>
      <rPr>
        <sz val="11"/>
        <color theme="5" tint="-0.249977111117893"/>
        <rFont val="Calibri"/>
        <family val="2"/>
        <scheme val="minor"/>
      </rPr>
      <t>(Note - OPEB is not a pension plan.)</t>
    </r>
  </si>
  <si>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</si>
  <si>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t xml:space="preserve">This self-reported data is used in calculations including but not limited to: reporting Financial Performance Indicators (FPI), FPI thresholds, published memos, legislative reporting, and determining units placed on the Unit Assistance List (UAL). </t>
  </si>
  <si>
    <t xml:space="preserve">new </t>
  </si>
  <si>
    <t>Water and Sewer Condition of Assets</t>
  </si>
  <si>
    <t>new</t>
  </si>
  <si>
    <r>
      <t xml:space="preserve">There was appropriated fund balance for the General Fund in the 2023 budget </t>
    </r>
    <r>
      <rPr>
        <b/>
        <u/>
        <sz val="11"/>
        <color theme="1"/>
        <rFont val="Calibri"/>
        <family val="2"/>
        <scheme val="minor"/>
      </rPr>
      <t>AND</t>
    </r>
    <r>
      <rPr>
        <b/>
        <sz val="11"/>
        <color theme="1"/>
        <rFont val="Calibri"/>
        <family val="2"/>
        <scheme val="minor"/>
      </rPr>
      <t xml:space="preserve"> your change in fund balance was negative.  Please state if fund balance was used for operations or capital purposes </t>
    </r>
    <r>
      <rPr>
        <b/>
        <sz val="11"/>
        <color rgb="FFFF0000"/>
        <rFont val="Calibri"/>
        <family val="2"/>
        <scheme val="minor"/>
      </rPr>
      <t>in account 590 on the Unit Data from Audit Worksheet.</t>
    </r>
  </si>
  <si>
    <t xml:space="preserve">Are the American Rescue Plan Act (ARPA) of 2021-Coronavrius State &amp; Local Fiscal Recovery Funds on target to be committed by December 31, 2024? (Yes = 1 or No = 2or N/A = 3 if unit did not receive funds) </t>
  </si>
  <si>
    <t>Are the American Rescue Plan Act (ARPA) of 2021-Coronavrius State &amp; Local Fiscal Recovery Funds on target to be completely expended by December 31, 2026? (Yes = 1 or No = 2 or N/A = 3 if unit did not receive funds)</t>
  </si>
  <si>
    <t>Did your audit disclose any budget violations at the adopted ordinance level? (Yes or No)</t>
  </si>
  <si>
    <t>Did your audit disclose as a finding any statutory violations? (not including budget violations) (Yes or No) If the answer  is "Yes", review whether this needs to be disclosed in the Stewardship, Compliance and Accountability Note</t>
  </si>
  <si>
    <t>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t>
  </si>
  <si>
    <t>Does the Performance Indicator Print worksheet in this workbook have a red shaded cell?</t>
  </si>
  <si>
    <t>Please enter page number if information included in the audit report/other communications</t>
  </si>
  <si>
    <t>Cash &amp; Tax Memo, UAL Determination, Financial Performance Indicator</t>
  </si>
  <si>
    <t>Review Summary - FBA, UAL Determination, Financial Performation Indicator</t>
  </si>
  <si>
    <t>Determination of Fiscal Health, UAL Determination, Financial Performance Indicator</t>
  </si>
  <si>
    <t>Review Summary, UAL Determination, Financial Performance Indicator</t>
  </si>
  <si>
    <t>Error Detection, UAL Determination, Financial Performance Indicator</t>
  </si>
  <si>
    <t>Water Sewer Dashboard, UAL Determination, Financial Performance Indicator</t>
  </si>
  <si>
    <t>UAL Determination, Financial Performance Indicator</t>
  </si>
  <si>
    <t>Review Summary; Electric Memo, Financial Performance Indicator</t>
  </si>
  <si>
    <t>Dashboard; Determination of Fiscal Health, Financial Performance Indicator</t>
  </si>
  <si>
    <t>Determination of Fiscal Health, Financial Performance Indicator</t>
  </si>
  <si>
    <t>Dashboard, Electric Memo, Financial Performance Indicator</t>
  </si>
  <si>
    <t>Electric Memo, Financial Performance Indicator</t>
  </si>
  <si>
    <t>Electric Memo, Dashboard, Financial Performance Indicator</t>
  </si>
  <si>
    <t>Dashboard, Financial Performance Indicator</t>
  </si>
  <si>
    <t>Finance Performance Indicator</t>
  </si>
  <si>
    <t>Financial Performance Indicator</t>
  </si>
  <si>
    <t>Water Sewer Dashboard, Financial Performance Indicator</t>
  </si>
  <si>
    <t>Review Summary, Financial Performance Indicator</t>
  </si>
  <si>
    <t>Electric Fund Transfer worksheet, Financial Performance Indicator</t>
  </si>
  <si>
    <t>Electric Transfer Calculation, Financial Performance Indicator</t>
  </si>
  <si>
    <t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</si>
  <si>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Unit Data from Audit worksheet tab:
 1-((523+524+525+526)/(515+516+517+518))</t>
  </si>
  <si>
    <t>The data collected in the Data Input Workbook is used for reporting purposes. This self-reported data is used in:  (1) determining units placed on the Unit Assistance List (2) calculation of Financial Indicators of Concern (3) Statistical Memos (4) internal reports used for audit review analysis.  Other state agencies and other governmental entities are provided with data that they use for their purposes on a recurring basis such as the Department of Environmental Quality and the UNC, School of Government, Environmental Finance Center.</t>
  </si>
  <si>
    <t>As of the publication date of this workbook, prior year self-reported numbers may not been received by the LGC staff, please contact LGC staff at lgcaudit@nctreasurer.com to have the prior year’s numbers populated on this worksheet.  Please include in email subject "Prior Year Financial Data."</t>
  </si>
  <si>
    <t>It appears your Water Sewer Fund has transfers-in for the support of operations that are greater than 3% of the total of operating and non-operating expenses.  Please discuss the purpose of such transfers-in and if you plan to continue these transfers-in.</t>
  </si>
  <si>
    <t>Unit Data from Audit Worksheet tab : 590 and 23</t>
  </si>
  <si>
    <r>
      <t xml:space="preserve">GENERAL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</si>
  <si>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r>
      <t xml:space="preserve">WATER SEWER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</si>
  <si>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r>
      <t xml:space="preserve">ELECTRIC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</si>
  <si>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t>12</t>
  </si>
  <si>
    <t>12/15/2023</t>
  </si>
  <si>
    <t>Was the finance officer or interim finance officer bonded (Yes or No) pursuant to G.S. 159-29</t>
  </si>
  <si>
    <t>Amount of ARPA funds expended in total for fiscal year for non-capital purposes</t>
  </si>
  <si>
    <t>Data documenting the unit's compliance with General Statue 159-25 is captured in account numbers 947, 948, 949, 950, and 952</t>
  </si>
  <si>
    <t>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t>
  </si>
  <si>
    <t>If the answer to 1059 is "No," was the unit without a board-appointed interim or permanent finance officer for more than 2 weeks at any time in the fiscal year</t>
  </si>
  <si>
    <t>Is there is a going concern noted in the audit report</t>
  </si>
  <si>
    <t>Did your audit disclose any budget violations at the adopted ordinance level (Yes or No)</t>
  </si>
  <si>
    <t>Does the Performance Indicator Print worksheet in this workbook have a red shaded cell</t>
  </si>
  <si>
    <t>TD Info Completed by Auditor tab: CCH acct # 1079</t>
  </si>
  <si>
    <t>Please do not answer this question unless the unit has a  water and/or sewer fund</t>
  </si>
  <si>
    <t>Water and Sewer Capital Assets Condition Ratio</t>
  </si>
  <si>
    <t xml:space="preserve">This capital assets condition ratio formula calculates the remaining useful life. A remaining useful asset value less than 0.50  may signal the need to replace the assets in the near future. </t>
  </si>
  <si>
    <t>The indicator is to determine if any time during the fiscal year, the unit was without a board-appointed finance officer.</t>
  </si>
  <si>
    <t>Remaining useful life of asset greater than or equal to 0.50</t>
  </si>
  <si>
    <t>What date was the audit report submitted to the LGC?  (Note audit reports are due four months after fiscal year end regardless of the contract submission date.)</t>
  </si>
  <si>
    <t xml:space="preserve">What date was the audit report submitted to the LGC? </t>
  </si>
  <si>
    <t>J</t>
  </si>
  <si>
    <t>C31</t>
  </si>
  <si>
    <t>C30</t>
  </si>
  <si>
    <t>Review</t>
  </si>
  <si>
    <t>The indicator is to determine if any time during the fiscal year, the unit was board-appointed finance officer was not bonded.</t>
  </si>
  <si>
    <r>
      <t xml:space="preserve">Are there additional issues the unit should address that affect the fiscal health or internal controls of the unit that were communicated to the unit during the audit presentation?   </t>
    </r>
    <r>
      <rPr>
        <b/>
        <u/>
        <sz val="11"/>
        <rFont val="Calibri"/>
        <family val="2"/>
        <scheme val="minor"/>
      </rPr>
      <t>Please include details of the issue in cell J46 to the right and in your FPIC Response.</t>
    </r>
  </si>
  <si>
    <t>Amount transferred from the Water and Sewer Fund to  Water and Sewer Capital Project Funds</t>
  </si>
  <si>
    <t>Fiscal Review, UAL Determination, Financial Performance Indicator</t>
  </si>
  <si>
    <t>Amount transferred from the Water and Sewer Fund to Water and Sewer Capital Project Funds</t>
  </si>
  <si>
    <t>Does the Unit have a non-state administered pension plan</t>
  </si>
  <si>
    <t>What date was the audit report submitted to the LGC?  (Note audit reports are due four months after fiscal year end regardless of the contract submission date.)  Enter as "MM/DD/YYYY"</t>
  </si>
  <si>
    <t>Capital Assets for Water and Sewer Activity</t>
  </si>
  <si>
    <r>
      <t xml:space="preserve">Please list the amount of ARPA funds expended in total this fiscal year for non-capital purposes.  Enter </t>
    </r>
    <r>
      <rPr>
        <sz val="11"/>
        <rFont val="Calibri"/>
        <family val="2"/>
        <scheme val="minor"/>
      </rPr>
      <t>"</t>
    </r>
    <r>
      <rPr>
        <b/>
        <sz val="11"/>
        <rFont val="Calibri"/>
        <family val="2"/>
        <scheme val="minor"/>
      </rPr>
      <t>0</t>
    </r>
    <r>
      <rPr>
        <sz val="11"/>
        <rFont val="Calibri"/>
        <family val="2"/>
        <scheme val="minor"/>
      </rPr>
      <t>"</t>
    </r>
    <r>
      <rPr>
        <sz val="11"/>
        <color theme="1"/>
        <rFont val="Calibri"/>
        <family val="2"/>
        <scheme val="minor"/>
      </rPr>
      <t xml:space="preserve"> if no ARPA funds expended for this fiscal year for non-capital purposes.</t>
    </r>
  </si>
  <si>
    <r>
      <t xml:space="preserve">The </t>
    </r>
    <r>
      <rPr>
        <sz val="11"/>
        <color rgb="FFFF0000"/>
        <rFont val="Calibri"/>
        <family val="2"/>
        <scheme val="minor"/>
      </rPr>
      <t>Counties listed in cell H260 and municipalities within these counties</t>
    </r>
    <r>
      <rPr>
        <sz val="11"/>
        <color theme="1"/>
        <rFont val="Calibri"/>
        <family val="2"/>
        <scheme val="minor"/>
      </rPr>
      <t xml:space="preserve"> are scheduled to revalue property listing by 1/1/2025 according to the Dept. of Revenue records.  Please indicate if you expect your revaluation to: 
Enter  "20" for increase, 
            "21" for decrease, 
            "22" for no change,
            "23" if this question is not applicable
</t>
    </r>
    <r>
      <rPr>
        <b/>
        <sz val="11"/>
        <color theme="1"/>
        <rFont val="Calibri"/>
        <family val="2"/>
        <scheme val="minor"/>
      </rPr>
      <t>Select from drop list.</t>
    </r>
  </si>
  <si>
    <r>
      <t xml:space="preserve">Date the auditor presented or plans to present Financial Performance Indicators of Concern (FPIC) to the Governing Board. </t>
    </r>
    <r>
      <rPr>
        <sz val="11"/>
        <color theme="9" tint="-0.499984740745262"/>
        <rFont val="Calibri"/>
        <family val="2"/>
        <scheme val="minor"/>
      </rPr>
      <t xml:space="preserve"> If there are no FPICs to present to the governing board,  enter "7/1/2024" to indicate that an FPIC response is not required.</t>
    </r>
  </si>
  <si>
    <t xml:space="preserve"> Fiscal Year 2024 -  Data Input Workbook incorporates the
Unit Data from Audit Worksheet, TD Info Completed by Auditor Worksheet, Performance Indicators Print Worksheet</t>
  </si>
  <si>
    <t xml:space="preserve">The TD Info Completed by Auditor Worksheet is to be filled out using the completed audit report for the fiscal year 2024. </t>
  </si>
  <si>
    <t>Please remember the original 2024 audit report submission cannot be processed unless we receive the following:</t>
  </si>
  <si>
    <t xml:space="preserve">- PDF file of the Audit Report named “Unit Name 2024 Audit”             </t>
  </si>
  <si>
    <t>- PDF file of all communication letters from the auditor to the unit  named “Unit Name 2024 comm #1”, “Unit Name 2024 comm #2”, etc.</t>
  </si>
  <si>
    <t xml:space="preserve">- Excel file named “Unit Name 2024 Data Input Workbook" </t>
  </si>
  <si>
    <t>If the 2024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</si>
  <si>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Location of Documents for the 2024 Audit Submission Process</t>
  </si>
  <si>
    <t>Instructions for Audits with a Fiscal Year Ending Earlier than June 30, 2024</t>
  </si>
  <si>
    <t>If you are performing an audit for a year earlier than June 30, 2024, please email LGCAudit@nctreasurer.com, as you will need to use the appropriate transmittal and data input document for that time period.</t>
  </si>
  <si>
    <r>
      <t xml:space="preserve">The questions to the 2024 </t>
    </r>
    <r>
      <rPr>
        <b/>
        <i/>
        <u/>
        <sz val="12"/>
        <rFont val="Cambria"/>
        <family val="1"/>
      </rPr>
      <t>TD Info Completed by Auditor</t>
    </r>
    <r>
      <rPr>
        <b/>
        <i/>
        <sz val="12"/>
        <rFont val="Cambria"/>
        <family val="1"/>
      </rPr>
      <t xml:space="preserve"> tab assist our team in routing the audit report through our review process.  Please answer all questions before submitting the Data Input Workbook to the portal.  Incomplete TD Info Completed by Auditor tabs will be returned and may delay invoice processing.  </t>
    </r>
  </si>
  <si>
    <r>
      <t xml:space="preserve">If you appropriated General Fund Balance in your 2024 budget and your "change in fund balance": (account # 23 above) is </t>
    </r>
    <r>
      <rPr>
        <sz val="11"/>
        <color rgb="FFFF0000"/>
        <rFont val="Calibri"/>
        <family val="2"/>
        <scheme val="minor"/>
      </rPr>
      <t>negative</t>
    </r>
    <r>
      <rPr>
        <sz val="11"/>
        <color theme="1"/>
        <rFont val="Calibri"/>
        <family val="2"/>
        <scheme val="minor"/>
      </rPr>
      <t>, please select from the drop down box in column F either "operations" or "capital", whichever best describes what the fund balance was used for.  Briefly describe in column G to the right what the fund balance was used for.</t>
    </r>
  </si>
  <si>
    <r>
      <t xml:space="preserve">Please enter the fiscal year end reported on the unit's audited financial statements if other than 6/30/2024.  </t>
    </r>
    <r>
      <rPr>
        <b/>
        <sz val="11"/>
        <color theme="1"/>
        <rFont val="Calibri"/>
        <family val="2"/>
        <scheme val="minor"/>
      </rPr>
      <t xml:space="preserve">Do not delete 6/30/2024 if applicable. </t>
    </r>
    <r>
      <rPr>
        <sz val="11"/>
        <color theme="1"/>
        <rFont val="Calibri"/>
        <family val="2"/>
        <scheme val="minor"/>
      </rPr>
      <t xml:space="preserve">            Format "MM/DD/YYYY"</t>
    </r>
  </si>
  <si>
    <t>Fiscal Year 2024</t>
  </si>
  <si>
    <t>2024-2025</t>
  </si>
  <si>
    <t>reappraisal</t>
  </si>
  <si>
    <t>PROPERTY TAX RATES AND REAPPRAISAL SCHEDULES FOR NORTH CAROLINA COUNTIES</t>
  </si>
  <si>
    <t>did not use this report</t>
  </si>
  <si>
    <t xml:space="preserve">Beaufort, Buncombe, Caldwell, Carteret, Chatham, Cleveland, Cumberland, Dare, Davie, Duplin, Durham, Forsyth, Gates, Haywood, Jackson, Johnston, Lenoir, Martin, New Hanover, Orange, Person, Polk, Stanly, Stokes, Surry, Transylvania, Tyrrell, Union, Warren, Wayne, Wilkes </t>
  </si>
  <si>
    <t>If the fiscal year-end is other than 6/30/2024, 9/30/2024, 12/31/2024 or 3/31/2025, please contact us.</t>
  </si>
  <si>
    <t>2/2/2023</t>
  </si>
  <si>
    <t>11/3/2023</t>
  </si>
  <si>
    <t>1/18/2024</t>
  </si>
  <si>
    <t>4/12/2024</t>
  </si>
  <si>
    <t>3/12/2024</t>
  </si>
  <si>
    <t>11/17/2023</t>
  </si>
  <si>
    <t>2/13/2024</t>
  </si>
  <si>
    <t>4/8/2024</t>
  </si>
  <si>
    <t>8/14/2023</t>
  </si>
  <si>
    <t>1/15/2024</t>
  </si>
  <si>
    <t>2024-04-12</t>
  </si>
  <si>
    <t>2023-02-21</t>
  </si>
  <si>
    <t>PY2</t>
  </si>
  <si>
    <t>Audit Year 2022</t>
  </si>
  <si>
    <t>N/A -</t>
  </si>
  <si>
    <t>Sarah</t>
  </si>
  <si>
    <t>Brown</t>
  </si>
  <si>
    <t>permanent</t>
  </si>
  <si>
    <t>11/14/2023</t>
  </si>
  <si>
    <t>2/6/2023</t>
  </si>
  <si>
    <t>Finance Oficer</t>
  </si>
  <si>
    <t>Chief Financial Officer</t>
  </si>
  <si>
    <t>1/16/2024</t>
  </si>
  <si>
    <t>10/31/2023</t>
  </si>
  <si>
    <t>11/22/2023</t>
  </si>
  <si>
    <t>5/20/2024</t>
  </si>
  <si>
    <t>10/27/2023</t>
  </si>
  <si>
    <t>1/8/2024</t>
  </si>
  <si>
    <t>11/30/2023</t>
  </si>
  <si>
    <t>2/6/2024</t>
  </si>
  <si>
    <t>12/21/2023</t>
  </si>
  <si>
    <t>11/1/2023</t>
  </si>
  <si>
    <t>10/12/2023</t>
  </si>
  <si>
    <t>11/20/2023</t>
  </si>
  <si>
    <t>11/27/2023</t>
  </si>
  <si>
    <t>10/20/2023</t>
  </si>
  <si>
    <t>11/28/2023</t>
  </si>
  <si>
    <t>11/13/2023</t>
  </si>
  <si>
    <t>12/11/2023</t>
  </si>
  <si>
    <t>11/29/2023</t>
  </si>
  <si>
    <t>12/19/2023</t>
  </si>
  <si>
    <t>11/21/2023</t>
  </si>
  <si>
    <t>12/1/2023</t>
  </si>
  <si>
    <t>1/4/2024</t>
  </si>
  <si>
    <t>Were there any issues or other matters presented to the Governing Board regarding internal controls (not already listed as a material weakness or significant deficiency?</t>
  </si>
  <si>
    <t>2/8/2024</t>
  </si>
  <si>
    <t>12/18/2023</t>
  </si>
  <si>
    <t>12/5/2023</t>
  </si>
  <si>
    <t>12/12/2023</t>
  </si>
  <si>
    <t>7/1/2023</t>
  </si>
  <si>
    <t>1/2/2024</t>
  </si>
  <si>
    <t>1/9/2024</t>
  </si>
  <si>
    <t>12/13/2023</t>
  </si>
  <si>
    <t>1/10/2024</t>
  </si>
  <si>
    <t>2023-10-31</t>
  </si>
  <si>
    <t>2023-11-29</t>
  </si>
  <si>
    <t>2023-11-22</t>
  </si>
  <si>
    <t>2024-01-18</t>
  </si>
  <si>
    <t>2023-11-30</t>
  </si>
  <si>
    <t>2023-11-03</t>
  </si>
  <si>
    <t>2023-12-29</t>
  </si>
  <si>
    <t>2023-11-06</t>
  </si>
  <si>
    <t>2023-10-30</t>
  </si>
  <si>
    <t>2023-11-28</t>
  </si>
  <si>
    <t>2023-12-22</t>
  </si>
  <si>
    <t>2023-12-01</t>
  </si>
  <si>
    <t>2023-11-13</t>
  </si>
  <si>
    <t>2023-10-12</t>
  </si>
  <si>
    <t>2023-12-19</t>
  </si>
  <si>
    <t>2023-12-21</t>
  </si>
  <si>
    <t>2023-11-27</t>
  </si>
  <si>
    <t>2023-11-02</t>
  </si>
  <si>
    <t>Was the finance officer or interim finance officer bonded pursuant to G.S. 159-29 which requires that the finance officer give a true accounting and faithful performance bond in an amount not less than the greater of (1) $50,000 or (2) an amount equal to</t>
  </si>
  <si>
    <t>Does the unit have a self-insurance fund?</t>
  </si>
  <si>
    <t>Does the Unit have a non-state administrered pension plan?</t>
  </si>
  <si>
    <t>Please list the amount of ARPA funds expended in total this fiscal year for non-capital purposes.  Enter "zero" if no ARPA funds expended for this fiscal year for non-capital purposes.</t>
  </si>
  <si>
    <t>Transfers from General Fund to Water and Sewer Fund (Enter as positive.)</t>
  </si>
  <si>
    <t>Transfers from Water and Sewer to General Fund. (Enter as positive.)</t>
  </si>
  <si>
    <t>Amount transferred from the Water and Sewer Fund to a Water and Sewer Capital Project Fund</t>
  </si>
  <si>
    <t>If the answer to 1059 is "No" then was the unit without a board-appointed interim or permanent finance officer for more than 2 weeks at any time in the fiscal year? (Note:  Please include a noncompliance finding related to GS 159-24, GS 159-25(a)(2) or GS</t>
  </si>
  <si>
    <t>12/29/2023</t>
  </si>
  <si>
    <t>11/6/2023</t>
  </si>
  <si>
    <t>11/5/2023</t>
  </si>
  <si>
    <t xml:space="preserve">Was a  Management Letter issued by the auditor to the unit of government? </t>
  </si>
  <si>
    <t>Operations - Fund parks and rec function</t>
  </si>
  <si>
    <t>- N/A</t>
  </si>
  <si>
    <t>Operations - Additional work on the streets needed</t>
  </si>
  <si>
    <t>Capital - Fund balance, in the absense of the 2nd disbursement of ARPA funds at the time of the FY 22 budget approval by Council, was used to balance the FY 22 budget.</t>
  </si>
  <si>
    <t>Jenny</t>
  </si>
  <si>
    <t>Darrell</t>
  </si>
  <si>
    <t>Sharon</t>
  </si>
  <si>
    <t>Karen</t>
  </si>
  <si>
    <t>Belinda</t>
  </si>
  <si>
    <t>Vickie</t>
  </si>
  <si>
    <t>Mary</t>
  </si>
  <si>
    <t>Amy</t>
  </si>
  <si>
    <t>Jody</t>
  </si>
  <si>
    <t>Nick</t>
  </si>
  <si>
    <t>Heather</t>
  </si>
  <si>
    <t>Willa Mae</t>
  </si>
  <si>
    <t>Roxanne</t>
  </si>
  <si>
    <t>Stephanie</t>
  </si>
  <si>
    <t>Letha</t>
  </si>
  <si>
    <t>Martha</t>
  </si>
  <si>
    <t>Janice</t>
  </si>
  <si>
    <t>Beverly</t>
  </si>
  <si>
    <t>Cathy</t>
  </si>
  <si>
    <t>JoAnne</t>
  </si>
  <si>
    <t>Ron</t>
  </si>
  <si>
    <t>Pamela</t>
  </si>
  <si>
    <t>Lola</t>
  </si>
  <si>
    <t>Caitlin</t>
  </si>
  <si>
    <t>Crystal</t>
  </si>
  <si>
    <t>Michelle</t>
  </si>
  <si>
    <t>Marjorie</t>
  </si>
  <si>
    <t>Chad</t>
  </si>
  <si>
    <t>Melissa</t>
  </si>
  <si>
    <t>Jacqueline</t>
  </si>
  <si>
    <t>Catherine</t>
  </si>
  <si>
    <t>Annie</t>
  </si>
  <si>
    <t>Julianne</t>
  </si>
  <si>
    <t>Ashley</t>
  </si>
  <si>
    <t>Shelly</t>
  </si>
  <si>
    <t>Ray</t>
  </si>
  <si>
    <t>Barrett</t>
  </si>
  <si>
    <t>Emma</t>
  </si>
  <si>
    <t>Marlene</t>
  </si>
  <si>
    <t>Byron</t>
  </si>
  <si>
    <t>Tina</t>
  </si>
  <si>
    <t>Suellen</t>
  </si>
  <si>
    <t>Margaret</t>
  </si>
  <si>
    <t>JEAN</t>
  </si>
  <si>
    <t>Allison</t>
  </si>
  <si>
    <t>Edna</t>
  </si>
  <si>
    <t>Wanda</t>
  </si>
  <si>
    <t>CYNTHIA</t>
  </si>
  <si>
    <t>Dina</t>
  </si>
  <si>
    <t>Brian</t>
  </si>
  <si>
    <t>Lee</t>
  </si>
  <si>
    <t>Lesley</t>
  </si>
  <si>
    <t>Shea</t>
  </si>
  <si>
    <t>Joey</t>
  </si>
  <si>
    <t>John</t>
  </si>
  <si>
    <t>Ashely</t>
  </si>
  <si>
    <t>Bobby</t>
  </si>
  <si>
    <t>William</t>
  </si>
  <si>
    <t>Rebecca</t>
  </si>
  <si>
    <t>Fredrick</t>
  </si>
  <si>
    <t>Dave</t>
  </si>
  <si>
    <t>Renee</t>
  </si>
  <si>
    <t>Minnie</t>
  </si>
  <si>
    <t>Chuck</t>
  </si>
  <si>
    <t>April</t>
  </si>
  <si>
    <t>Drew</t>
  </si>
  <si>
    <t>Jeanne</t>
  </si>
  <si>
    <t>Shana</t>
  </si>
  <si>
    <t>Pattie</t>
  </si>
  <si>
    <t>Larson</t>
  </si>
  <si>
    <t>Baucom</t>
  </si>
  <si>
    <t>Fink</t>
  </si>
  <si>
    <t>Boggs</t>
  </si>
  <si>
    <t>Johson</t>
  </si>
  <si>
    <t>Picarella</t>
  </si>
  <si>
    <t>Weedman</t>
  </si>
  <si>
    <t>Passmore</t>
  </si>
  <si>
    <t>Stiles</t>
  </si>
  <si>
    <t>Hines</t>
  </si>
  <si>
    <t>Garris</t>
  </si>
  <si>
    <t>Gregorich</t>
  </si>
  <si>
    <t>Bishop</t>
  </si>
  <si>
    <t>O'Brien</t>
  </si>
  <si>
    <t>Nichols</t>
  </si>
  <si>
    <t>Crabtree</t>
  </si>
  <si>
    <t>Lackey</t>
  </si>
  <si>
    <t>Cashwell</t>
  </si>
  <si>
    <t>Beck</t>
  </si>
  <si>
    <t>Ausby</t>
  </si>
  <si>
    <t>Clowney</t>
  </si>
  <si>
    <t>Certain</t>
  </si>
  <si>
    <t>Sawyer</t>
  </si>
  <si>
    <t>Whitlock</t>
  </si>
  <si>
    <t>Coble</t>
  </si>
  <si>
    <t>Lalonde</t>
  </si>
  <si>
    <t>Cooper-Kelley</t>
  </si>
  <si>
    <t>Gwynn</t>
  </si>
  <si>
    <t>King-Gaines</t>
  </si>
  <si>
    <t>Cordon</t>
  </si>
  <si>
    <t>Eggers</t>
  </si>
  <si>
    <t>Presnell</t>
  </si>
  <si>
    <t>Shockley</t>
  </si>
  <si>
    <t>Brinson</t>
  </si>
  <si>
    <t>Druga</t>
  </si>
  <si>
    <t>Hayes</t>
  </si>
  <si>
    <t>Mitchell</t>
  </si>
  <si>
    <t>Weaver</t>
  </si>
  <si>
    <t>Ledford</t>
  </si>
  <si>
    <t>DANIELS</t>
  </si>
  <si>
    <t>Roebuck</t>
  </si>
  <si>
    <t>Miles</t>
  </si>
  <si>
    <t>Edwards</t>
  </si>
  <si>
    <t>EZZELL</t>
  </si>
  <si>
    <t>Harrell</t>
  </si>
  <si>
    <t>Wiseman</t>
  </si>
  <si>
    <t>Tillman</t>
  </si>
  <si>
    <t>Gonzalez</t>
  </si>
  <si>
    <t>Hedden</t>
  </si>
  <si>
    <t>Braswell</t>
  </si>
  <si>
    <t>Fuqua</t>
  </si>
  <si>
    <t>Buchanan</t>
  </si>
  <si>
    <t>Hodges</t>
  </si>
  <si>
    <t>Fitzjohn</t>
  </si>
  <si>
    <t>Cash</t>
  </si>
  <si>
    <t>Shuler</t>
  </si>
  <si>
    <t>Rankins</t>
  </si>
  <si>
    <t>McCole</t>
  </si>
  <si>
    <t>Ellis</t>
  </si>
  <si>
    <t>Myers</t>
  </si>
  <si>
    <t>Strickland</t>
  </si>
  <si>
    <t>Vinson</t>
  </si>
  <si>
    <t>Gentry</t>
  </si>
  <si>
    <t>McGinnis</t>
  </si>
  <si>
    <t>6/12/2012</t>
  </si>
  <si>
    <t>1/1/2019</t>
  </si>
  <si>
    <t>11/23/2009</t>
  </si>
  <si>
    <t>2/3/2010</t>
  </si>
  <si>
    <t>1/1/2018</t>
  </si>
  <si>
    <t>1/1/1972</t>
  </si>
  <si>
    <t>1/1/1995</t>
  </si>
  <si>
    <t>1/1/2003</t>
  </si>
  <si>
    <t>12/8/2005</t>
  </si>
  <si>
    <t>1/1/2009</t>
  </si>
  <si>
    <t>2/11/2016</t>
  </si>
  <si>
    <t>7/1/2012</t>
  </si>
  <si>
    <t>1/1/2001</t>
  </si>
  <si>
    <t>7/1/2021</t>
  </si>
  <si>
    <t>6/15/2020</t>
  </si>
  <si>
    <t>7/2/2014</t>
  </si>
  <si>
    <t>9/11/2017</t>
  </si>
  <si>
    <t>1/1/2008</t>
  </si>
  <si>
    <t>1/1/2011</t>
  </si>
  <si>
    <t>1/6/2020</t>
  </si>
  <si>
    <t>1/30/2019</t>
  </si>
  <si>
    <t>1/1/2012</t>
  </si>
  <si>
    <t>1/31/2019</t>
  </si>
  <si>
    <t>12/21/2021</t>
  </si>
  <si>
    <t>5/26/2022</t>
  </si>
  <si>
    <t>1/1/2006</t>
  </si>
  <si>
    <t>4/15/2018</t>
  </si>
  <si>
    <t>9/1/2022</t>
  </si>
  <si>
    <t>3/1/2022</t>
  </si>
  <si>
    <t>10/7/2003</t>
  </si>
  <si>
    <t>6/11/2018</t>
  </si>
  <si>
    <t>4/10/2000</t>
  </si>
  <si>
    <t>5/16/2016</t>
  </si>
  <si>
    <t>1/4/2022</t>
  </si>
  <si>
    <t>3/5/2012</t>
  </si>
  <si>
    <t>2/18/2019</t>
  </si>
  <si>
    <t>12/17/2018</t>
  </si>
  <si>
    <t>2/1/2008</t>
  </si>
  <si>
    <t>11/3/2020</t>
  </si>
  <si>
    <t>1/11/2016</t>
  </si>
  <si>
    <t>1/1/2017</t>
  </si>
  <si>
    <t>11/3/2021</t>
  </si>
  <si>
    <t>Peggy Moore</t>
  </si>
  <si>
    <t>Jenny Larson</t>
  </si>
  <si>
    <t>Darrell Baucom</t>
  </si>
  <si>
    <t>Sharon Lee</t>
  </si>
  <si>
    <t>Karen Fink</t>
  </si>
  <si>
    <t>Belinda White</t>
  </si>
  <si>
    <t>Vickie Wells</t>
  </si>
  <si>
    <t>Mary Boggs</t>
  </si>
  <si>
    <t>Amy Johnson</t>
  </si>
  <si>
    <t>Jody Picarella</t>
  </si>
  <si>
    <t>Nick Weedman</t>
  </si>
  <si>
    <t>Heather Taylor</t>
  </si>
  <si>
    <t>Willa Mae Passmore</t>
  </si>
  <si>
    <t>Roxanne Stiles</t>
  </si>
  <si>
    <t>Stephanie Gibson</t>
  </si>
  <si>
    <t>LETHA HINES</t>
  </si>
  <si>
    <t>Martha Garris</t>
  </si>
  <si>
    <t>Janice Gregorich</t>
  </si>
  <si>
    <t>Sarah Bishop</t>
  </si>
  <si>
    <t>Lauren Chandler</t>
  </si>
  <si>
    <t>Beverly O'Brien</t>
  </si>
  <si>
    <t>Cathy Nichols</t>
  </si>
  <si>
    <t>JoAnne J. Crabtree</t>
  </si>
  <si>
    <t>Ron Lackey</t>
  </si>
  <si>
    <t>Pamela Cashwell</t>
  </si>
  <si>
    <t>David Beck</t>
  </si>
  <si>
    <t>Caitlin Clowney</t>
  </si>
  <si>
    <t>Crystal Certain</t>
  </si>
  <si>
    <t>Michelle Sawyer</t>
  </si>
  <si>
    <t>Marjorie Whitlock</t>
  </si>
  <si>
    <t>Chad Coble</t>
  </si>
  <si>
    <t>Melissa Lalonde</t>
  </si>
  <si>
    <t>Jacqueline Cooper-Kelley</t>
  </si>
  <si>
    <t>Catherine Gwynn</t>
  </si>
  <si>
    <t>Annie Kay-Gaines</t>
  </si>
  <si>
    <t>JuLianne Cordon</t>
  </si>
  <si>
    <t>Sarah Eggers</t>
  </si>
  <si>
    <t>Ashley Presnell</t>
  </si>
  <si>
    <t>Shelly Shockley</t>
  </si>
  <si>
    <t>Ray Lewis</t>
  </si>
  <si>
    <t>Barrett Brown</t>
  </si>
  <si>
    <t>Emma Brinson</t>
  </si>
  <si>
    <t>Marlene Druga</t>
  </si>
  <si>
    <t>Byron Hayes</t>
  </si>
  <si>
    <t>Tina Mitchell</t>
  </si>
  <si>
    <t>Suellen Weaver</t>
  </si>
  <si>
    <t>Margaret Ledford</t>
  </si>
  <si>
    <t>JEAN DANIELS</t>
  </si>
  <si>
    <t>Allison Roebuck</t>
  </si>
  <si>
    <t>Edna Miles</t>
  </si>
  <si>
    <t>Wanda Edwards</t>
  </si>
  <si>
    <t>CYNTHIA EZZELL</t>
  </si>
  <si>
    <t>Dina Harrell</t>
  </si>
  <si>
    <t>Brian T. Lee, CPA</t>
  </si>
  <si>
    <t>David Wiseman</t>
  </si>
  <si>
    <t>Lee Tillman</t>
  </si>
  <si>
    <t>Lesley Gonzalez</t>
  </si>
  <si>
    <t>Suzanne Hedden</t>
  </si>
  <si>
    <t>Shea Braswell</t>
  </si>
  <si>
    <t>Joey Fuqua</t>
  </si>
  <si>
    <t>John Buchanan</t>
  </si>
  <si>
    <t>Ashley Hodges</t>
  </si>
  <si>
    <t>Melissa Miller</t>
  </si>
  <si>
    <t>Bobby Fitzjohn</t>
  </si>
  <si>
    <t>William Cash</t>
  </si>
  <si>
    <t>Rebecca Shuler</t>
  </si>
  <si>
    <t>Fredrick Rankins</t>
  </si>
  <si>
    <t>Dave McCole</t>
  </si>
  <si>
    <t>Renee Ellis</t>
  </si>
  <si>
    <t>Minnie Myers</t>
  </si>
  <si>
    <t>David W. Hewett</t>
  </si>
  <si>
    <t>Chuck Strickland</t>
  </si>
  <si>
    <t>Alan Antwan Morrison</t>
  </si>
  <si>
    <t>April Vinson</t>
  </si>
  <si>
    <t>Drew Holland</t>
  </si>
  <si>
    <t>Jeanne Gentry</t>
  </si>
  <si>
    <t>Shana Guy</t>
  </si>
  <si>
    <t>Pattie McGinnis</t>
  </si>
  <si>
    <t>Town Clerk/Finance Officer</t>
  </si>
  <si>
    <t>Fianance Officer and Town Clerk</t>
  </si>
  <si>
    <t>Clerk/Finance Officer</t>
  </si>
  <si>
    <t>Finance Officer, Clerk</t>
  </si>
  <si>
    <t>Assistant Town Manager/Finance Officer</t>
  </si>
  <si>
    <t>TOWN CLERK/FINANCE OFFICER</t>
  </si>
  <si>
    <t>Director of Financial Services</t>
  </si>
  <si>
    <t>Town Adminisrator/Finance Officer</t>
  </si>
  <si>
    <t>Town Administrator/Clerk</t>
  </si>
  <si>
    <t>Financial Services Director</t>
  </si>
  <si>
    <t>Finance Clerk</t>
  </si>
  <si>
    <t>finance officer</t>
  </si>
  <si>
    <t>Town Manager/Financial Officer</t>
  </si>
  <si>
    <t>Finaance Officer</t>
  </si>
  <si>
    <t>1/13/2023</t>
  </si>
  <si>
    <t>11/11/2022</t>
  </si>
  <si>
    <t>11/18/2022</t>
  </si>
  <si>
    <t>11/1/2022</t>
  </si>
  <si>
    <t>6/30/2022</t>
  </si>
  <si>
    <t>11/4/2022</t>
  </si>
  <si>
    <t>8/2/2023</t>
  </si>
  <si>
    <t>10/5/2022</t>
  </si>
  <si>
    <t>6/27/2023</t>
  </si>
  <si>
    <t>4/28/2023</t>
  </si>
  <si>
    <t>10/21/2022</t>
  </si>
  <si>
    <t>9/19/2022</t>
  </si>
  <si>
    <t>5/31/2023</t>
  </si>
  <si>
    <t>12/1/2021</t>
  </si>
  <si>
    <t>2/28/2024</t>
  </si>
  <si>
    <t>12/29/2022</t>
  </si>
  <si>
    <t>9/28/2022</t>
  </si>
  <si>
    <t>10/30/2022</t>
  </si>
  <si>
    <t>10/26/2023</t>
  </si>
  <si>
    <t>1/30/2023</t>
  </si>
  <si>
    <t>10/13/2022</t>
  </si>
  <si>
    <t>7/22/2023</t>
  </si>
  <si>
    <t>12/27/2022</t>
  </si>
  <si>
    <t>4/12/2023</t>
  </si>
  <si>
    <t>3/15/2024</t>
  </si>
  <si>
    <t>2/22/2023</t>
  </si>
  <si>
    <t>6/29/2023</t>
  </si>
  <si>
    <t>910-649-7426</t>
  </si>
  <si>
    <t>704-221-2285</t>
  </si>
  <si>
    <t>910-267-2721</t>
  </si>
  <si>
    <t>704-279-7500</t>
  </si>
  <si>
    <t>910-980-1355</t>
  </si>
  <si>
    <t>252-413-8893</t>
  </si>
  <si>
    <t>704-300-2095</t>
  </si>
  <si>
    <t>252-753-6715</t>
  </si>
  <si>
    <t>919-433-1682</t>
  </si>
  <si>
    <t>828-697-8100</t>
  </si>
  <si>
    <t>828-687-3985</t>
  </si>
  <si>
    <t>828-479-9346</t>
  </si>
  <si>
    <t>828-248-5204</t>
  </si>
  <si>
    <t>828-342-2340</t>
  </si>
  <si>
    <t>252-749-2881</t>
  </si>
  <si>
    <t>919-963-3112 ext.123</t>
  </si>
  <si>
    <t>910-295-5107</t>
  </si>
  <si>
    <t>828-524-2516 ext.304</t>
  </si>
  <si>
    <t>919-494-2520</t>
  </si>
  <si>
    <t>336-824-2604</t>
  </si>
  <si>
    <t>919-242-5151</t>
  </si>
  <si>
    <t>919-552-1438</t>
  </si>
  <si>
    <t>828-754-1991</t>
  </si>
  <si>
    <t>910-529-4141</t>
  </si>
  <si>
    <t>919-773-4411</t>
  </si>
  <si>
    <t>252-536-2167</t>
  </si>
  <si>
    <t>252-537-1046</t>
  </si>
  <si>
    <t>704-866-6800</t>
  </si>
  <si>
    <t>252-340-5642</t>
  </si>
  <si>
    <t>910-268-4921</t>
  </si>
  <si>
    <t>336-449-4144</t>
  </si>
  <si>
    <t>828-584-2622</t>
  </si>
  <si>
    <t>910-980-1000</t>
  </si>
  <si>
    <t>919-580-4356</t>
  </si>
  <si>
    <t>336-570-6700 ext.3105</t>
  </si>
  <si>
    <t>828-355-4521</t>
  </si>
  <si>
    <t>828-396-3131 ext.101</t>
  </si>
  <si>
    <t>704-279-5962 ext.14</t>
  </si>
  <si>
    <t>252-745-6511</t>
  </si>
  <si>
    <t>336-578-3447</t>
  </si>
  <si>
    <t>910-289-3078</t>
  </si>
  <si>
    <t>336-373-2094</t>
  </si>
  <si>
    <t>252-329-4443</t>
  </si>
  <si>
    <t>252-524-5168</t>
  </si>
  <si>
    <t>252-752-6337</t>
  </si>
  <si>
    <t>704-418-2393</t>
  </si>
  <si>
    <t>252-583-3379</t>
  </si>
  <si>
    <t>252-798-2001</t>
  </si>
  <si>
    <t>910-582-2651</t>
  </si>
  <si>
    <t>704-546-2339</t>
  </si>
  <si>
    <t>910-532-2990</t>
  </si>
  <si>
    <t>252-356-4499</t>
  </si>
  <si>
    <t>704-455-0712</t>
  </si>
  <si>
    <t>252-366-0719</t>
  </si>
  <si>
    <t>252-444-6403</t>
  </si>
  <si>
    <t>336-578-0784</t>
  </si>
  <si>
    <t>828-389-1862</t>
  </si>
  <si>
    <t>704-882-3940</t>
  </si>
  <si>
    <t>252-430-5711</t>
  </si>
  <si>
    <t>828-697-3052</t>
  </si>
  <si>
    <t>252-426-1969</t>
  </si>
  <si>
    <t>828-323-7545</t>
  </si>
  <si>
    <t>336-883-3238</t>
  </si>
  <si>
    <t>704-735-1651</t>
  </si>
  <si>
    <t>828-526-2118 ext.1100</t>
  </si>
  <si>
    <t>828-397-5801</t>
  </si>
  <si>
    <t>919-296-9451</t>
  </si>
  <si>
    <t>252-826-4573</t>
  </si>
  <si>
    <t>910-286-3606</t>
  </si>
  <si>
    <t>910-845-6488</t>
  </si>
  <si>
    <t>910-329-7081</t>
  </si>
  <si>
    <t>919-557-3912</t>
  </si>
  <si>
    <t>252-747-3816</t>
  </si>
  <si>
    <t>910-426-4102 ext.4102</t>
  </si>
  <si>
    <t>828-622-7591</t>
  </si>
  <si>
    <t>828-728-8272</t>
  </si>
  <si>
    <t>704-766-2205</t>
  </si>
  <si>
    <t>townoffairbluff@rsnet.org</t>
  </si>
  <si>
    <t>jennyhlarson@bellsouth.net</t>
  </si>
  <si>
    <t>dbaucom4@carolina.rr.com</t>
  </si>
  <si>
    <t>#REF!</t>
  </si>
  <si>
    <t>faithtownclerk@yahoo.com</t>
  </si>
  <si>
    <t>falcontownhall@gmail.com</t>
  </si>
  <si>
    <t>vickiewells@hotmail.com</t>
  </si>
  <si>
    <t>townoffallstonnc@bellsouth.net</t>
  </si>
  <si>
    <t>ajohnson@farmvillenc.gov</t>
  </si>
  <si>
    <t>JodyPicarella@FayettevilleNC.gov</t>
  </si>
  <si>
    <t>nickweedman@gmail.com</t>
  </si>
  <si>
    <t>h.taylor@fletchernc.org</t>
  </si>
  <si>
    <t>wmpassmore@frontier.com</t>
  </si>
  <si>
    <t>roxannestiles@townofforestcity.com</t>
  </si>
  <si>
    <t>stephanie@villageofforesthills.org</t>
  </si>
  <si>
    <t>townclerk@townoffountainnc.com</t>
  </si>
  <si>
    <t>mgarris@embarqmail.com</t>
  </si>
  <si>
    <t>ffvcouncilgregorich@outlook.com</t>
  </si>
  <si>
    <t>sbishop@franklinnc.com</t>
  </si>
  <si>
    <t>publiccomments@franklintonnc.com</t>
  </si>
  <si>
    <t>franklinvillefo@triad.rr.com</t>
  </si>
  <si>
    <t>cnichols@fremontnc.gov</t>
  </si>
  <si>
    <t>jcrabtree@fuquay-varina.org</t>
  </si>
  <si>
    <t>townofgamewell@bellsouth.net</t>
  </si>
  <si>
    <t>pcashwell@intrstar.net</t>
  </si>
  <si>
    <t>dbeck@garnernc.gov</t>
  </si>
  <si>
    <t>garysburg@embarqmail.com</t>
  </si>
  <si>
    <t>gastontownclerk@outlook.com</t>
  </si>
  <si>
    <t>crystalc@cityofgastonia.com</t>
  </si>
  <si>
    <t>michelle@msawyercpa.com</t>
  </si>
  <si>
    <t>towngibson@outlook.com</t>
  </si>
  <si>
    <t>finance@gibsonville.net</t>
  </si>
  <si>
    <t>mlalonde@townofglenalpine.org</t>
  </si>
  <si>
    <t>tog@ncrrbiz.com</t>
  </si>
  <si>
    <t>Cgwynn@goldsboronc.gov</t>
  </si>
  <si>
    <t>akkgaines@americansouthgc.com</t>
  </si>
  <si>
    <t>jcordon@cityofgraham.com</t>
  </si>
  <si>
    <t>seggers@grandfatherclubnc.com</t>
  </si>
  <si>
    <t>ashley.presnell@Granitefallsnc.com</t>
  </si>
  <si>
    <t>office@granitequarrync.gov</t>
  </si>
  <si>
    <t>grantsboronc@embarqmail.com</t>
  </si>
  <si>
    <t>bbrown@greenlevelnc.com</t>
  </si>
  <si>
    <t>townofgreenevers@centurylink.net</t>
  </si>
  <si>
    <t>marlene.druga@greensboro-nc.gov</t>
  </si>
  <si>
    <t>bhayes@greenvillenc.gov</t>
  </si>
  <si>
    <t>tina.mitchell@grifton.com</t>
  </si>
  <si>
    <t>financeclerk@grimesland.org</t>
  </si>
  <si>
    <t>m.emory@townofgrovernc.com</t>
  </si>
  <si>
    <t>townofhalifax@yahoo.com</t>
  </si>
  <si>
    <t>townhamilton06@gmail.com</t>
  </si>
  <si>
    <t>emiles@hamletnc.us</t>
  </si>
  <si>
    <t>harmonync@yadtel.net</t>
  </si>
  <si>
    <t>harrells@intrstar.net</t>
  </si>
  <si>
    <t>hville@touchnc.net</t>
  </si>
  <si>
    <t>BLEE@Harrisburgnc.org</t>
  </si>
  <si>
    <t>dave1enc@aol.com</t>
  </si>
  <si>
    <t>ltillman@havelocknc.us</t>
  </si>
  <si>
    <t>lgonzalez@townofhawriver.com</t>
  </si>
  <si>
    <t>clerk@townofhayesville.com</t>
  </si>
  <si>
    <t>hembybridgenc@gmail.com</t>
  </si>
  <si>
    <t>josephfuqua@henderson.nc.gov</t>
  </si>
  <si>
    <t>jbuchanan@hvlnc.gov</t>
  </si>
  <si>
    <t>ahodges@townofhertfordnc.com</t>
  </si>
  <si>
    <t>mmiller@hickorync.gov</t>
  </si>
  <si>
    <t>bobby.fitzjohn@highpointnc.gov</t>
  </si>
  <si>
    <t>Fireman2100@bellosuth.net</t>
  </si>
  <si>
    <t>rebecca.shuler@highlandsnc.org</t>
  </si>
  <si>
    <t>fredrick.rankins@hildebran.nc.org</t>
  </si>
  <si>
    <t>dave.mccole@hillsboroughnc.gov</t>
  </si>
  <si>
    <t>townofhobgood@embarqmail.com</t>
  </si>
  <si>
    <t>mmyers@townofhoffman.com</t>
  </si>
  <si>
    <t>david.hewett@hbtownhall.com</t>
  </si>
  <si>
    <t>finance@hollyridgenc.org</t>
  </si>
  <si>
    <t>antwan.morrison@hollyspringsnc.gov</t>
  </si>
  <si>
    <t>april.baker@hookertonnc.com</t>
  </si>
  <si>
    <t>dholland@townofhopemills.com</t>
  </si>
  <si>
    <t>clerk@townofhotsprings.org</t>
  </si>
  <si>
    <t>shana.guy@townofhudsonnc.com</t>
  </si>
  <si>
    <t>pmcginnis@huntersville.org</t>
  </si>
  <si>
    <t>12/15/2022</t>
  </si>
  <si>
    <t>8/7/2023</t>
  </si>
  <si>
    <t>7/16/2023</t>
  </si>
  <si>
    <t>11/20/2022</t>
  </si>
  <si>
    <t>6/13/2023</t>
  </si>
  <si>
    <t>6/12/2023</t>
  </si>
  <si>
    <t>2/21/2023</t>
  </si>
  <si>
    <t>1/23/2023</t>
  </si>
  <si>
    <t>12/31/2022</t>
  </si>
  <si>
    <t>11/26/2023</t>
  </si>
  <si>
    <t>1/9/2023</t>
  </si>
  <si>
    <t>11/2/2022</t>
  </si>
  <si>
    <t>8/3/2023</t>
  </si>
  <si>
    <t>12/7/2022</t>
  </si>
  <si>
    <t>4/18/2024</t>
  </si>
  <si>
    <t>2/23/2023</t>
  </si>
  <si>
    <t>3/20/2023</t>
  </si>
  <si>
    <t>5/23/2023</t>
  </si>
  <si>
    <t>2023-01-13</t>
  </si>
  <si>
    <t>2022-11-17</t>
  </si>
  <si>
    <t>2022-11-18</t>
  </si>
  <si>
    <t>2022-11-01</t>
  </si>
  <si>
    <t>2023-02-22</t>
  </si>
  <si>
    <t>2022-11-05</t>
  </si>
  <si>
    <t>2023-01-27</t>
  </si>
  <si>
    <t>2023-08-03</t>
  </si>
  <si>
    <t>2023-06-27</t>
  </si>
  <si>
    <t>2022-11-16</t>
  </si>
  <si>
    <t>2023-04-30</t>
  </si>
  <si>
    <t>2023-06-18</t>
  </si>
  <si>
    <t>2023-02-17</t>
  </si>
  <si>
    <t>2022-12-08</t>
  </si>
  <si>
    <t>2022-11-11</t>
  </si>
  <si>
    <t>2024-03-14</t>
  </si>
  <si>
    <t>2023-01-11</t>
  </si>
  <si>
    <t>2022-12-30</t>
  </si>
  <si>
    <t>2022-10-04</t>
  </si>
  <si>
    <t>2023-11-21</t>
  </si>
  <si>
    <t>2022-10-30</t>
  </si>
  <si>
    <t>2022-10-11</t>
  </si>
  <si>
    <t>2022-10-21</t>
  </si>
  <si>
    <t>2023-02-03</t>
  </si>
  <si>
    <t>2022-11-02</t>
  </si>
  <si>
    <t>2022-12-14</t>
  </si>
  <si>
    <t>2023-08-14</t>
  </si>
  <si>
    <t>2022-10-07</t>
  </si>
  <si>
    <t>2022-10-19</t>
  </si>
  <si>
    <t>2023-01-30</t>
  </si>
  <si>
    <t>2022-10-12</t>
  </si>
  <si>
    <t>2023-04-13</t>
  </si>
  <si>
    <t>2024-03-15</t>
  </si>
  <si>
    <t>2022-11-09</t>
  </si>
  <si>
    <t>2023-01-31</t>
  </si>
  <si>
    <t>2023-02-09</t>
  </si>
  <si>
    <t>2023-06-30</t>
  </si>
  <si>
    <t>2023-02-16</t>
  </si>
  <si>
    <t>2023-05-12</t>
  </si>
  <si>
    <t>Capital - various vehicles, fire truck and dump truck</t>
  </si>
  <si>
    <t>Matha</t>
  </si>
  <si>
    <t>Lauren</t>
  </si>
  <si>
    <t>Shannon</t>
  </si>
  <si>
    <t>Ronald</t>
  </si>
  <si>
    <t>Shauna'</t>
  </si>
  <si>
    <t>LOLA</t>
  </si>
  <si>
    <t>Melanie</t>
  </si>
  <si>
    <t>Jaocb</t>
  </si>
  <si>
    <t>Kimberly</t>
  </si>
  <si>
    <t>Daniel</t>
  </si>
  <si>
    <t>Shaun</t>
  </si>
  <si>
    <t>Johnson</t>
  </si>
  <si>
    <t>Chandler</t>
  </si>
  <si>
    <t>Daqly</t>
  </si>
  <si>
    <t>Harper</t>
  </si>
  <si>
    <t>AUSBY</t>
  </si>
  <si>
    <t>Reed</t>
  </si>
  <si>
    <t>Joyner</t>
  </si>
  <si>
    <t>Walters</t>
  </si>
  <si>
    <t>McRainey</t>
  </si>
  <si>
    <t>Stroupe</t>
  </si>
  <si>
    <t>Hollan</t>
  </si>
  <si>
    <t>8/8/2022</t>
  </si>
  <si>
    <t>2/11/2026</t>
  </si>
  <si>
    <t>4/1/2024</t>
  </si>
  <si>
    <t>9/11/2023</t>
  </si>
  <si>
    <t>3/13/2023</t>
  </si>
  <si>
    <t>9/1/2021</t>
  </si>
  <si>
    <t>7/21/2023</t>
  </si>
  <si>
    <t>9/16/2016</t>
  </si>
  <si>
    <t>1/1/2023</t>
  </si>
  <si>
    <t>5/1/2024</t>
  </si>
  <si>
    <t>Heather N. Taylor</t>
  </si>
  <si>
    <t>Shannon Daly</t>
  </si>
  <si>
    <t>JoAnne Crabtree</t>
  </si>
  <si>
    <t>Ronald Lackey</t>
  </si>
  <si>
    <t>Shauna' Harper</t>
  </si>
  <si>
    <t>LOLA AUSBY</t>
  </si>
  <si>
    <t>Crystal Reed</t>
  </si>
  <si>
    <t>JACQUELINE COOPER-KELLEY</t>
  </si>
  <si>
    <t>Melanie King</t>
  </si>
  <si>
    <t>Jacob Joyner</t>
  </si>
  <si>
    <t>Brian Lee</t>
  </si>
  <si>
    <t>Kimberly Walters</t>
  </si>
  <si>
    <t>John P. Buchanan, CPA, CLGFO</t>
  </si>
  <si>
    <t>Daniel McRainey</t>
  </si>
  <si>
    <t>Tina Stroupe</t>
  </si>
  <si>
    <t>Shaun Jackson</t>
  </si>
  <si>
    <t>Finance Office</t>
  </si>
  <si>
    <t>Town Administrator/Finance Officer</t>
  </si>
  <si>
    <t>Interim Deputy Finance Officer</t>
  </si>
  <si>
    <t>2/19/2024</t>
  </si>
  <si>
    <t>10/25/2023</t>
  </si>
  <si>
    <t>11/2/2023</t>
  </si>
  <si>
    <t>9/20/2023</t>
  </si>
  <si>
    <t>1/22/2024</t>
  </si>
  <si>
    <t>5/10/2024</t>
  </si>
  <si>
    <t>9/27/2023</t>
  </si>
  <si>
    <t>10/19/2023</t>
  </si>
  <si>
    <t>2/7/2024</t>
  </si>
  <si>
    <t>7/2/2024</t>
  </si>
  <si>
    <t>10/30/2023</t>
  </si>
  <si>
    <t>2/12/2024</t>
  </si>
  <si>
    <t>10/16/2023</t>
  </si>
  <si>
    <t>12/6/2023</t>
  </si>
  <si>
    <t>7/12/2024</t>
  </si>
  <si>
    <t>3/30/2024</t>
  </si>
  <si>
    <t>6/30/2024</t>
  </si>
  <si>
    <t>10/9/2023</t>
  </si>
  <si>
    <t>10/23/2023</t>
  </si>
  <si>
    <t>4/15/2024</t>
  </si>
  <si>
    <t>1/3/2024</t>
  </si>
  <si>
    <t>1/25/2024</t>
  </si>
  <si>
    <t>5/31/2024</t>
  </si>
  <si>
    <t>9/26/2023</t>
  </si>
  <si>
    <t>12/7/2023</t>
  </si>
  <si>
    <t>7/31/2024</t>
  </si>
  <si>
    <t>12/15/2024</t>
  </si>
  <si>
    <t>11/7/2023</t>
  </si>
  <si>
    <t>6/7/2024</t>
  </si>
  <si>
    <t>910-628-9766 ext.217</t>
  </si>
  <si>
    <t>910-433-1682</t>
  </si>
  <si>
    <t>919-773-4413</t>
  </si>
  <si>
    <t>704-279-596</t>
  </si>
  <si>
    <t>252-329-4441</t>
  </si>
  <si>
    <t>910-532-4040</t>
  </si>
  <si>
    <t>828-233-2880</t>
  </si>
  <si>
    <t>910-842-6488</t>
  </si>
  <si>
    <t>252-531-2992</t>
  </si>
  <si>
    <t>910-426-4102</t>
  </si>
  <si>
    <t>jlarson@fairmontnc.gov</t>
  </si>
  <si>
    <t>slee@faisonnc.org</t>
  </si>
  <si>
    <t>jodypicarella@fayettevillenc.gov</t>
  </si>
  <si>
    <t>roxannstiles@townofforestcity.com</t>
  </si>
  <si>
    <t>lchandler@franklintonnc.us</t>
  </si>
  <si>
    <t>sdaly@fremontnc.gov</t>
  </si>
  <si>
    <t>bcaudletownofgamewell@gmail.com</t>
  </si>
  <si>
    <t>shaunaharper@intrstar.net</t>
  </si>
  <si>
    <t>creed@townofglenalpine.org</t>
  </si>
  <si>
    <t>TOG@NCRRBIZ.COM</t>
  </si>
  <si>
    <t>mking@cityofgraham.com</t>
  </si>
  <si>
    <t>grantsboronc@embarqmail.cm</t>
  </si>
  <si>
    <t>Marlene.Druga@greensboro-nc.gov</t>
  </si>
  <si>
    <t>jjoyner@greenvillenc.gov</t>
  </si>
  <si>
    <t>a.morrow@townofgrovernc.com</t>
  </si>
  <si>
    <t>harrellsville@centurylink.net</t>
  </si>
  <si>
    <t>kwalters@havelocknc.us</t>
  </si>
  <si>
    <t>Fireman2100@bellsouth.net</t>
  </si>
  <si>
    <t>dmcrainey@hbtownhall.com</t>
  </si>
  <si>
    <t>tina.stroupe@hollyspringsnc.gov</t>
  </si>
  <si>
    <t>Shaun.Jackson@hookertonnc.com</t>
  </si>
  <si>
    <t>2/20/2024</t>
  </si>
  <si>
    <t>1/6/2024</t>
  </si>
  <si>
    <t>5/13/2024</t>
  </si>
  <si>
    <t>1/11/2024</t>
  </si>
  <si>
    <t>12/20/2023</t>
  </si>
  <si>
    <t>7/16/2024</t>
  </si>
  <si>
    <t>3/5/2024</t>
  </si>
  <si>
    <t>6/17/2024</t>
  </si>
  <si>
    <t>7/15/2024</t>
  </si>
  <si>
    <t>5/30/2024</t>
  </si>
  <si>
    <t>12/16/2023</t>
  </si>
  <si>
    <t>2/5/2024</t>
  </si>
  <si>
    <t>4/9/2024</t>
  </si>
  <si>
    <t>6/11/2024</t>
  </si>
  <si>
    <t>2024-02-19</t>
  </si>
  <si>
    <t>2023-10-25</t>
  </si>
  <si>
    <t>2023-09-21</t>
  </si>
  <si>
    <t>2024-01-22</t>
  </si>
  <si>
    <t>2024-05-10</t>
  </si>
  <si>
    <t>2024-01-29</t>
  </si>
  <si>
    <t>2023-10-23</t>
  </si>
  <si>
    <t>2023-10-20</t>
  </si>
  <si>
    <t>2024-02-12</t>
  </si>
  <si>
    <t>2023-10-26</t>
  </si>
  <si>
    <t>2023-11-07</t>
  </si>
  <si>
    <t>2024-07-02</t>
  </si>
  <si>
    <t>2023-11-10</t>
  </si>
  <si>
    <t>2024-02-08</t>
  </si>
  <si>
    <t>2023-12-06</t>
  </si>
  <si>
    <t>2024-07-15</t>
  </si>
  <si>
    <t>2023-10-05</t>
  </si>
  <si>
    <t>2024-04-01</t>
  </si>
  <si>
    <t>2024-06-30</t>
  </si>
  <si>
    <t>2023-10-28</t>
  </si>
  <si>
    <t>2023-10-09</t>
  </si>
  <si>
    <t>2023-09-22</t>
  </si>
  <si>
    <t>2024-01-12</t>
  </si>
  <si>
    <t>2024-02-09</t>
  </si>
  <si>
    <t>2023-12-02</t>
  </si>
  <si>
    <t>2024-06-14</t>
  </si>
  <si>
    <t>2024-01-11</t>
  </si>
  <si>
    <t>2023-10-18</t>
  </si>
  <si>
    <t>2024-02-21</t>
  </si>
  <si>
    <t>2023-10-04</t>
  </si>
  <si>
    <t>2023-11-17</t>
  </si>
  <si>
    <t>2024-07-31</t>
  </si>
  <si>
    <t>2023-11-01</t>
  </si>
  <si>
    <t>2023-11-14</t>
  </si>
  <si>
    <t>2023-12-13</t>
  </si>
  <si>
    <t>2024-06-07</t>
  </si>
  <si>
    <t>9/21/2023</t>
  </si>
  <si>
    <t>1/29/2024</t>
  </si>
  <si>
    <t>11/10/2023</t>
  </si>
  <si>
    <t>10/5/2023</t>
  </si>
  <si>
    <t>10/28/2023</t>
  </si>
  <si>
    <t>1/12/2024</t>
  </si>
  <si>
    <t>2/9/2024</t>
  </si>
  <si>
    <t>6/14/2024</t>
  </si>
  <si>
    <t>9/22/2023</t>
  </si>
  <si>
    <t>10/18/2023</t>
  </si>
  <si>
    <t>2/21/2024</t>
  </si>
  <si>
    <t>10/4/2023</t>
  </si>
  <si>
    <t>11/8/2023</t>
  </si>
  <si>
    <t>CCH Batch Total</t>
  </si>
  <si>
    <t>rounding</t>
  </si>
  <si>
    <t>no w/s fund</t>
  </si>
  <si>
    <t>w/s fund verified</t>
  </si>
  <si>
    <t>test data</t>
  </si>
  <si>
    <t>Unit Data</t>
  </si>
  <si>
    <t>All the electric fund</t>
  </si>
  <si>
    <t>account data was</t>
  </si>
  <si>
    <t>deleted.  Account 9000</t>
  </si>
  <si>
    <t>has not been adjusted</t>
  </si>
  <si>
    <t>for the deleted data.</t>
  </si>
  <si>
    <t>Version Date 10/16/2024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</si>
</sst>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_(* #,##0.000_);_(* \(#,##0.000\);_(* &quot;-&quot;??_);_(@_)"/>
    <numFmt numFmtId="183" formatCode="[&lt;=9999999]###\-####;\(###\)\ ###\-####"/>
    <numFmt numFmtId="184" formatCode="###\-###\-####"/>
    <numFmt numFmtId="185" formatCode="@*."/>
    <numFmt numFmtId="186" formatCode=".0000"/>
    <numFmt numFmtId="187" formatCode="#,##0.0_);[Red]\(#,##0.0\)"/>
    <numFmt numFmtId="188" formatCode="0.0_);[Red]\(0.0\)"/>
    <numFmt numFmtId="189" formatCode="0.0000_);[Red]\(0.0000\)"/>
    <numFmt numFmtId="190" formatCode="0.00_);[Red]\(0.00\)"/>
  </numFmts>
  <fonts count="196"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name val="Arial"/>
      <family val="2"/>
    </font>
    <font>
      <sz val="8"/>
      <name val="Arial"/>
      <family val="2"/>
    </font>
    <font>
      <sz val="12"/>
      <name val="Garamond"/>
      <family val="1"/>
    </font>
    <font>
      <sz val="10"/>
      <color rgb="FF000000"/>
      <name val="Times New Roman"/>
      <family val="1"/>
    </font>
    <font>
      <sz val="11"/>
      <color rgb="FF000000"/>
      <name val="Calibri"/>
      <family val="2"/>
      <scheme val="minor"/>
    </font>
    <font>
      <i/>
      <sz val="14"/>
      <color theme="1"/>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4"/>
      <name val="Calibri"/>
      <family val="2"/>
      <scheme val="minor"/>
    </font>
    <font>
      <b/>
      <sz val="12"/>
      <name val="Calibri"/>
      <family val="2"/>
      <scheme val="minor"/>
    </font>
    <font>
      <sz val="11"/>
      <color theme="1"/>
      <name val="Century Schoolbook"/>
      <family val="1"/>
    </font>
    <font>
      <i/>
      <sz val="14"/>
      <name val="Calibri"/>
      <family val="2"/>
      <scheme val="minor"/>
    </font>
    <font>
      <sz val="10"/>
      <name val="Arial"/>
      <family val="2"/>
    </font>
    <font>
      <b/>
      <sz val="16"/>
      <color theme="0"/>
      <name val="Calibri"/>
      <family val="2"/>
      <scheme val="minor"/>
    </font>
    <font>
      <sz val="10.5"/>
      <color theme="1"/>
      <name val="Calibri"/>
      <family val="2"/>
      <scheme val="minor"/>
    </font>
    <font>
      <b/>
      <u/>
      <sz val="11"/>
      <color theme="1"/>
      <name val="Calibri"/>
      <family val="2"/>
      <scheme val="minor"/>
    </font>
    <font>
      <sz val="11"/>
      <color theme="5" tint="-0.499984740745262"/>
      <name val="Calibri"/>
      <family val="2"/>
      <scheme val="minor"/>
    </font>
    <font>
      <sz val="11"/>
      <color theme="9" tint="-0.499984740745262"/>
      <name val="Calibri"/>
      <family val="2"/>
      <scheme val="minor"/>
    </font>
    <font>
      <b/>
      <i/>
      <sz val="12"/>
      <color rgb="FFFF0000"/>
      <name val="Cambria"/>
      <family val="1"/>
    </font>
    <font>
      <b/>
      <u/>
      <sz val="14"/>
      <color theme="1"/>
      <name val="Calibri"/>
      <family val="2"/>
      <scheme val="minor"/>
    </font>
    <font>
      <sz val="8"/>
      <name val="Arial"/>
      <family val="2"/>
    </font>
    <font>
      <sz val="10"/>
      <name val="Arial"/>
      <family val="2"/>
    </font>
    <font>
      <sz val="12"/>
      <name val="Garamond"/>
      <family val="1"/>
    </font>
    <font>
      <sz val="10"/>
      <color rgb="FF000000"/>
      <name val="Times New Roman"/>
      <family val="1"/>
    </font>
    <font>
      <sz val="12"/>
      <color rgb="FFFF0000"/>
      <name val="Calibri"/>
      <family val="2"/>
      <scheme val="minor"/>
    </font>
    <font>
      <sz val="12"/>
      <name val="Calibri"/>
      <family val="2"/>
      <scheme val="minor"/>
    </font>
    <font>
      <b/>
      <sz val="11"/>
      <name val="Times New Roman"/>
      <family val="1"/>
    </font>
    <font>
      <b/>
      <i/>
      <sz val="14"/>
      <color theme="1"/>
      <name val="Calibri"/>
      <family val="2"/>
      <scheme val="minor"/>
    </font>
    <font>
      <b/>
      <u/>
      <sz val="11"/>
      <color rgb="FFFF0000"/>
      <name val="Calibri"/>
      <family val="2"/>
      <scheme val="minor"/>
    </font>
    <font>
      <b/>
      <sz val="14"/>
      <color rgb="FFFF0000"/>
      <name val="Calibri"/>
      <family val="2"/>
      <scheme val="minor"/>
    </font>
    <font>
      <b/>
      <i/>
      <u/>
      <sz val="12"/>
      <name val="Cambria"/>
      <family val="1"/>
    </font>
    <font>
      <b/>
      <sz val="11"/>
      <color rgb="FFFF0000"/>
      <name val="Times New Roman"/>
      <family val="1"/>
    </font>
  </fonts>
  <fills count="87">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indexed="55"/>
        <bgColor indexed="64"/>
      </patternFill>
    </fill>
    <fill>
      <patternFill patternType="solid">
        <fgColor rgb="FFCCFFCC"/>
        <bgColor indexed="64"/>
      </patternFill>
    </fill>
    <fill>
      <patternFill patternType="solid">
        <fgColor rgb="FFDCFDD3"/>
        <bgColor indexed="64"/>
      </patternFill>
    </fill>
    <fill>
      <patternFill patternType="gray125">
        <fgColor auto="1"/>
        <bgColor auto="1"/>
      </patternFill>
    </fill>
    <fill>
      <patternFill patternType="solid">
        <fgColor rgb="FF92D050"/>
        <bgColor indexed="64"/>
      </patternFill>
    </fill>
    <fill>
      <patternFill patternType="solid">
        <fgColor theme="8" tint="0.79998168889431442"/>
        <bgColor indexed="64"/>
      </patternFill>
    </fill>
    <fill>
      <patternFill patternType="solid">
        <fgColor rgb="FF99FF66"/>
        <bgColor indexed="64"/>
      </patternFill>
    </fill>
  </fills>
  <borders count="10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3" tint="0.79998168889431442"/>
      </left>
      <right/>
      <top style="thin">
        <color theme="3" tint="0.79998168889431442"/>
      </top>
      <bottom style="thin">
        <color theme="3" tint="0.79998168889431442"/>
      </bottom>
      <diagonal/>
    </border>
    <border>
      <left/>
      <right style="thin">
        <color theme="3" tint="0.79998168889431442"/>
      </right>
      <top style="thin">
        <color theme="3" tint="0.79998168889431442"/>
      </top>
      <bottom style="thin">
        <color theme="3" tint="0.79998168889431442"/>
      </bottom>
      <diagonal/>
    </border>
    <border>
      <left style="thin">
        <color theme="3" tint="0.79998168889431442"/>
      </left>
      <right style="thin">
        <color theme="3" tint="0.79998168889431442"/>
      </right>
      <top/>
      <bottom style="thin">
        <color theme="3" tint="0.79998168889431442"/>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style="thin">
        <color theme="0"/>
      </bottom>
      <diagonal/>
    </border>
  </borders>
  <cellStyleXfs count="3202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6" fillId="0" borderId="0"/>
    <xf numFmtId="0" fontId="66" fillId="0" borderId="0"/>
    <xf numFmtId="0" fontId="65" fillId="0" borderId="0"/>
    <xf numFmtId="0" fontId="66" fillId="0" borderId="0"/>
    <xf numFmtId="0" fontId="66" fillId="0" borderId="0"/>
    <xf numFmtId="0" fontId="67" fillId="0" borderId="0"/>
    <xf numFmtId="0" fontId="66"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7"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5"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11"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21" fillId="0" borderId="0"/>
    <xf numFmtId="0" fontId="33" fillId="0" borderId="0"/>
    <xf numFmtId="0" fontId="33"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11" fillId="0" borderId="0"/>
    <xf numFmtId="0" fontId="67" fillId="0" borderId="0"/>
    <xf numFmtId="0" fontId="67" fillId="0" borderId="0"/>
    <xf numFmtId="0" fontId="67" fillId="0" borderId="0"/>
    <xf numFmtId="0" fontId="67"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67" fillId="0" borderId="0"/>
    <xf numFmtId="0" fontId="33" fillId="0" borderId="0"/>
    <xf numFmtId="0" fontId="33" fillId="0" borderId="0"/>
    <xf numFmtId="0" fontId="33" fillId="0" borderId="0"/>
    <xf numFmtId="0" fontId="33"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6"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7"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6"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0" fillId="0" borderId="47" applyNumberFormat="0" applyFill="0" applyAlignment="0" applyProtection="0"/>
    <xf numFmtId="0" fontId="71" fillId="0" borderId="48" applyNumberFormat="0" applyFill="0" applyAlignment="0" applyProtection="0"/>
    <xf numFmtId="0" fontId="72" fillId="0" borderId="49" applyNumberFormat="0" applyFill="0" applyAlignment="0" applyProtection="0"/>
    <xf numFmtId="0" fontId="72" fillId="0" borderId="0" applyNumberFormat="0" applyFill="0" applyBorder="0" applyAlignment="0" applyProtection="0"/>
    <xf numFmtId="0" fontId="73" fillId="37" borderId="0" applyNumberFormat="0" applyBorder="0" applyAlignment="0" applyProtection="0"/>
    <xf numFmtId="0" fontId="74" fillId="38" borderId="0" applyNumberFormat="0" applyBorder="0" applyAlignment="0" applyProtection="0"/>
    <xf numFmtId="0" fontId="75" fillId="40" borderId="50" applyNumberFormat="0" applyAlignment="0" applyProtection="0"/>
    <xf numFmtId="0" fontId="76" fillId="41" borderId="51" applyNumberFormat="0" applyAlignment="0" applyProtection="0"/>
    <xf numFmtId="0" fontId="77" fillId="41" borderId="50" applyNumberFormat="0" applyAlignment="0" applyProtection="0"/>
    <xf numFmtId="0" fontId="78" fillId="0" borderId="52" applyNumberFormat="0" applyFill="0" applyAlignment="0" applyProtection="0"/>
    <xf numFmtId="0" fontId="79" fillId="42" borderId="53" applyNumberFormat="0" applyAlignment="0" applyProtection="0"/>
    <xf numFmtId="0" fontId="68" fillId="0" borderId="0" applyNumberFormat="0" applyFill="0" applyBorder="0" applyAlignment="0" applyProtection="0"/>
    <xf numFmtId="0" fontId="39" fillId="0" borderId="55" applyNumberFormat="0" applyFill="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9" fillId="39" borderId="0" applyNumberFormat="0" applyBorder="0" applyAlignment="0" applyProtection="0"/>
    <xf numFmtId="0" fontId="33" fillId="43" borderId="54" applyNumberFormat="0" applyFont="0" applyAlignment="0" applyProtection="0"/>
    <xf numFmtId="40" fontId="82" fillId="0" borderId="17">
      <alignment horizontal="right"/>
    </xf>
    <xf numFmtId="0" fontId="83" fillId="0" borderId="0">
      <alignment horizontal="left"/>
    </xf>
    <xf numFmtId="49" fontId="11" fillId="0" borderId="0"/>
    <xf numFmtId="0" fontId="83" fillId="0" borderId="0">
      <alignment horizontal="left"/>
    </xf>
    <xf numFmtId="177" fontId="82" fillId="0" borderId="17">
      <alignment horizontal="right"/>
    </xf>
    <xf numFmtId="49" fontId="82"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1" fillId="50" borderId="0">
      <alignment horizontal="right" vertical="center"/>
    </xf>
    <xf numFmtId="49" fontId="81" fillId="50" borderId="0">
      <alignment horizontal="left" vertical="center"/>
    </xf>
    <xf numFmtId="49" fontId="81" fillId="50" borderId="0">
      <alignment horizontal="center" vertical="center"/>
    </xf>
    <xf numFmtId="49" fontId="81" fillId="50" borderId="0">
      <alignment horizontal="center" vertical="center"/>
    </xf>
    <xf numFmtId="49" fontId="81" fillId="50" borderId="0">
      <alignment horizontal="right" vertical="center"/>
    </xf>
    <xf numFmtId="40" fontId="81" fillId="50" borderId="0">
      <alignment horizontal="right"/>
    </xf>
    <xf numFmtId="49" fontId="81"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1" fillId="50" borderId="0">
      <alignment horizontal="center" vertical="center"/>
    </xf>
    <xf numFmtId="49" fontId="81" fillId="50" borderId="0">
      <alignment horizontal="center" vertical="center"/>
    </xf>
    <xf numFmtId="177" fontId="81" fillId="50" borderId="0">
      <alignment horizontal="center" vertical="center"/>
    </xf>
    <xf numFmtId="49" fontId="81" fillId="50" borderId="0">
      <alignment horizontal="right"/>
    </xf>
    <xf numFmtId="40" fontId="82" fillId="0" borderId="19">
      <alignment horizontal="right"/>
    </xf>
    <xf numFmtId="0" fontId="83" fillId="0" borderId="0">
      <alignment horizontal="left"/>
    </xf>
    <xf numFmtId="49" fontId="11" fillId="0" borderId="0"/>
    <xf numFmtId="0" fontId="83" fillId="0" borderId="0">
      <alignment horizontal="left"/>
    </xf>
    <xf numFmtId="177" fontId="82" fillId="0" borderId="19">
      <alignment horizontal="right"/>
    </xf>
    <xf numFmtId="49" fontId="82" fillId="0" borderId="0">
      <alignment horizontal="right"/>
    </xf>
    <xf numFmtId="49" fontId="11" fillId="0" borderId="0"/>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2" fillId="51" borderId="0">
      <alignment horizontal="center" vertical="center"/>
    </xf>
    <xf numFmtId="49" fontId="11" fillId="51" borderId="0">
      <alignment horizontal="left" vertical="center"/>
    </xf>
    <xf numFmtId="49" fontId="82" fillId="51" borderId="0">
      <alignment horizontal="center" vertical="center"/>
    </xf>
    <xf numFmtId="0" fontId="82" fillId="52" borderId="0">
      <alignment horizontal="left"/>
    </xf>
    <xf numFmtId="49" fontId="11" fillId="0" borderId="0"/>
    <xf numFmtId="0" fontId="82" fillId="52" borderId="0">
      <alignment horizontal="left"/>
    </xf>
    <xf numFmtId="40" fontId="82" fillId="0" borderId="0">
      <alignment horizontal="right"/>
    </xf>
    <xf numFmtId="49" fontId="81" fillId="50" borderId="0"/>
    <xf numFmtId="49" fontId="81" fillId="50" borderId="0"/>
    <xf numFmtId="49" fontId="11" fillId="0" borderId="0"/>
    <xf numFmtId="0" fontId="84" fillId="53" borderId="0" applyFont="0" applyFill="0">
      <alignment horizontal="left" vertical="top" wrapText="1"/>
    </xf>
    <xf numFmtId="40" fontId="84" fillId="0" borderId="0"/>
    <xf numFmtId="40" fontId="84" fillId="0" borderId="0"/>
    <xf numFmtId="0" fontId="84" fillId="0" borderId="0">
      <alignment horizontal="left"/>
    </xf>
    <xf numFmtId="0" fontId="84" fillId="0" borderId="0">
      <alignment horizontal="center"/>
    </xf>
    <xf numFmtId="0" fontId="85" fillId="0" borderId="0">
      <alignment horizontal="center"/>
    </xf>
    <xf numFmtId="0" fontId="86" fillId="50" borderId="0">
      <alignment horizontal="left"/>
    </xf>
    <xf numFmtId="0" fontId="86" fillId="50" borderId="0">
      <alignment horizontal="left"/>
    </xf>
    <xf numFmtId="0" fontId="85" fillId="0" borderId="0">
      <alignment horizontal="center"/>
    </xf>
    <xf numFmtId="40" fontId="87" fillId="0" borderId="18"/>
    <xf numFmtId="40" fontId="87" fillId="0" borderId="18"/>
    <xf numFmtId="0" fontId="87" fillId="0" borderId="0"/>
    <xf numFmtId="0" fontId="87" fillId="0" borderId="0"/>
    <xf numFmtId="0" fontId="85" fillId="0" borderId="0">
      <alignment horizontal="center"/>
    </xf>
    <xf numFmtId="0" fontId="88" fillId="54" borderId="0">
      <alignment horizontal="left"/>
    </xf>
    <xf numFmtId="0" fontId="88" fillId="54" borderId="0">
      <alignment horizontal="left"/>
    </xf>
    <xf numFmtId="40" fontId="82" fillId="0" borderId="0">
      <alignment horizontal="right"/>
    </xf>
    <xf numFmtId="0" fontId="83" fillId="0" borderId="0">
      <alignment horizontal="left"/>
    </xf>
    <xf numFmtId="49" fontId="11" fillId="0" borderId="0"/>
    <xf numFmtId="0" fontId="83" fillId="0" borderId="0">
      <alignment horizontal="left"/>
    </xf>
    <xf numFmtId="177" fontId="82" fillId="0" borderId="0">
      <alignment horizontal="right"/>
    </xf>
    <xf numFmtId="49" fontId="82" fillId="0" borderId="0" applyBorder="0">
      <alignment horizontal="right"/>
    </xf>
    <xf numFmtId="0" fontId="11" fillId="0" borderId="0"/>
    <xf numFmtId="49" fontId="90" fillId="53" borderId="0">
      <alignment horizontal="left"/>
    </xf>
    <xf numFmtId="49" fontId="90" fillId="53" borderId="0">
      <alignment horizontal="left"/>
    </xf>
    <xf numFmtId="0" fontId="91" fillId="53" borderId="0">
      <alignment horizontal="left"/>
    </xf>
    <xf numFmtId="178" fontId="91" fillId="53" borderId="0">
      <alignment horizontal="left"/>
    </xf>
    <xf numFmtId="40" fontId="82" fillId="0" borderId="0">
      <alignment horizontal="right"/>
    </xf>
    <xf numFmtId="49" fontId="92" fillId="53" borderId="0">
      <alignment horizontal="left"/>
    </xf>
    <xf numFmtId="49" fontId="92" fillId="53" borderId="0">
      <alignment horizontal="left"/>
    </xf>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0" fontId="82" fillId="0" borderId="14">
      <alignment horizontal="right"/>
    </xf>
    <xf numFmtId="0" fontId="82" fillId="52" borderId="0">
      <alignment horizontal="left"/>
    </xf>
    <xf numFmtId="49" fontId="11" fillId="0" borderId="0"/>
    <xf numFmtId="0" fontId="82" fillId="52" borderId="0">
      <alignment horizontal="left"/>
    </xf>
    <xf numFmtId="177" fontId="82" fillId="0" borderId="14">
      <alignment horizontal="right"/>
    </xf>
    <xf numFmtId="49" fontId="82" fillId="0" borderId="0">
      <alignment horizontal="right"/>
    </xf>
    <xf numFmtId="0" fontId="87" fillId="0" borderId="0"/>
    <xf numFmtId="40" fontId="84" fillId="0" borderId="18"/>
    <xf numFmtId="40" fontId="84" fillId="0" borderId="18"/>
    <xf numFmtId="0" fontId="84" fillId="0" borderId="0"/>
    <xf numFmtId="0" fontId="84" fillId="0" borderId="0"/>
    <xf numFmtId="40" fontId="84" fillId="0" borderId="0"/>
    <xf numFmtId="179" fontId="84" fillId="0" borderId="0"/>
    <xf numFmtId="40" fontId="84" fillId="0" borderId="0"/>
    <xf numFmtId="0" fontId="84" fillId="0" borderId="0"/>
    <xf numFmtId="0" fontId="84" fillId="0" borderId="0"/>
    <xf numFmtId="40" fontId="82" fillId="0" borderId="18">
      <alignment horizontal="right"/>
    </xf>
    <xf numFmtId="49" fontId="82" fillId="0" borderId="0">
      <alignment horizontal="left"/>
    </xf>
    <xf numFmtId="49" fontId="11" fillId="0" borderId="0"/>
    <xf numFmtId="49" fontId="82" fillId="0" borderId="0">
      <alignment horizontal="left"/>
    </xf>
    <xf numFmtId="177" fontId="82" fillId="0" borderId="18">
      <alignment horizontal="right"/>
    </xf>
    <xf numFmtId="49" fontId="82"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3" borderId="54"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93" fillId="0" borderId="0" applyNumberFormat="0" applyFill="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3" fillId="70" borderId="0" applyNumberFormat="0" applyBorder="0" applyAlignment="0" applyProtection="0"/>
    <xf numFmtId="0" fontId="33" fillId="71"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71" borderId="0" applyNumberFormat="0" applyBorder="0" applyAlignment="0" applyProtection="0"/>
    <xf numFmtId="0" fontId="80" fillId="57" borderId="0" applyNumberFormat="0" applyBorder="0" applyAlignment="0" applyProtection="0"/>
    <xf numFmtId="0" fontId="94" fillId="57" borderId="0" applyNumberFormat="0" applyBorder="0" applyAlignment="0" applyProtection="0"/>
    <xf numFmtId="0" fontId="80" fillId="60" borderId="0" applyNumberFormat="0" applyBorder="0" applyAlignment="0" applyProtection="0"/>
    <xf numFmtId="0" fontId="94" fillId="60" borderId="0" applyNumberFormat="0" applyBorder="0" applyAlignment="0" applyProtection="0"/>
    <xf numFmtId="0" fontId="80" fillId="63" borderId="0" applyNumberFormat="0" applyBorder="0" applyAlignment="0" applyProtection="0"/>
    <xf numFmtId="0" fontId="94" fillId="63" borderId="0" applyNumberFormat="0" applyBorder="0" applyAlignment="0" applyProtection="0"/>
    <xf numFmtId="0" fontId="80" fillId="66" borderId="0" applyNumberFormat="0" applyBorder="0" applyAlignment="0" applyProtection="0"/>
    <xf numFmtId="0" fontId="94" fillId="66" borderId="0" applyNumberFormat="0" applyBorder="0" applyAlignment="0" applyProtection="0"/>
    <xf numFmtId="0" fontId="80" fillId="69" borderId="0" applyNumberFormat="0" applyBorder="0" applyAlignment="0" applyProtection="0"/>
    <xf numFmtId="0" fontId="94" fillId="69" borderId="0" applyNumberFormat="0" applyBorder="0" applyAlignment="0" applyProtection="0"/>
    <xf numFmtId="0" fontId="80" fillId="72" borderId="0" applyNumberFormat="0" applyBorder="0" applyAlignment="0" applyProtection="0"/>
    <xf numFmtId="0" fontId="94" fillId="72"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5" fillId="38" borderId="0" applyNumberFormat="0" applyBorder="0" applyAlignment="0" applyProtection="0"/>
    <xf numFmtId="0" fontId="96" fillId="41" borderId="50" applyNumberFormat="0" applyAlignment="0" applyProtection="0"/>
    <xf numFmtId="0" fontId="97"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8" fillId="0" borderId="0" applyNumberFormat="0" applyFill="0" applyBorder="0" applyAlignment="0" applyProtection="0"/>
    <xf numFmtId="0" fontId="99" fillId="37" borderId="0" applyNumberFormat="0" applyBorder="0" applyAlignment="0" applyProtection="0"/>
    <xf numFmtId="0" fontId="100" fillId="0" borderId="47" applyNumberFormat="0" applyFill="0" applyAlignment="0" applyProtection="0"/>
    <xf numFmtId="0" fontId="101"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2" fillId="0" borderId="49" applyNumberFormat="0" applyFill="0" applyAlignment="0" applyProtection="0"/>
    <xf numFmtId="0" fontId="102" fillId="0" borderId="0" applyNumberFormat="0" applyFill="0" applyBorder="0" applyAlignment="0" applyProtection="0"/>
    <xf numFmtId="0" fontId="103" fillId="40" borderId="50" applyNumberFormat="0" applyAlignment="0" applyProtection="0"/>
    <xf numFmtId="0" fontId="104" fillId="0" borderId="52" applyNumberFormat="0" applyFill="0" applyAlignment="0" applyProtection="0"/>
    <xf numFmtId="0" fontId="105" fillId="39"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3" borderId="54" applyNumberFormat="0" applyFont="0" applyAlignment="0" applyProtection="0"/>
    <xf numFmtId="0" fontId="106" fillId="41" borderId="51" applyNumberFormat="0" applyAlignment="0" applyProtection="0"/>
    <xf numFmtId="9" fontId="6" fillId="0" borderId="0" applyFont="0" applyFill="0" applyBorder="0" applyAlignment="0" applyProtection="0"/>
    <xf numFmtId="0" fontId="107" fillId="0" borderId="0" applyNumberFormat="0" applyFill="0" applyBorder="0" applyAlignment="0" applyProtection="0"/>
    <xf numFmtId="0" fontId="108" fillId="0" borderId="55" applyNumberFormat="0" applyFill="0" applyAlignment="0" applyProtection="0"/>
    <xf numFmtId="0" fontId="109" fillId="0" borderId="0" applyNumberFormat="0" applyFill="0" applyBorder="0" applyAlignment="0" applyProtection="0"/>
    <xf numFmtId="0" fontId="112" fillId="0" borderId="0"/>
    <xf numFmtId="43" fontId="113" fillId="0" borderId="0" applyFont="0" applyFill="0" applyBorder="0" applyAlignment="0" applyProtection="0"/>
    <xf numFmtId="0" fontId="11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3" fillId="0" borderId="0"/>
    <xf numFmtId="0" fontId="11" fillId="0" borderId="0"/>
    <xf numFmtId="0" fontId="113"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2" fillId="0" borderId="0"/>
    <xf numFmtId="43" fontId="112" fillId="0" borderId="0" applyFont="0" applyFill="0" applyBorder="0" applyAlignment="0" applyProtection="0"/>
    <xf numFmtId="0" fontId="112" fillId="0" borderId="0"/>
    <xf numFmtId="0" fontId="123" fillId="0" borderId="0"/>
    <xf numFmtId="0" fontId="33" fillId="0" borderId="0"/>
    <xf numFmtId="0" fontId="123" fillId="0" borderId="0"/>
    <xf numFmtId="43" fontId="112" fillId="0" borderId="0" applyFont="0" applyFill="0" applyBorder="0" applyAlignment="0" applyProtection="0"/>
    <xf numFmtId="0" fontId="112" fillId="0" borderId="0"/>
    <xf numFmtId="0" fontId="112" fillId="0" borderId="0"/>
    <xf numFmtId="0" fontId="112" fillId="0" borderId="0"/>
    <xf numFmtId="0" fontId="124" fillId="0" borderId="0"/>
    <xf numFmtId="0" fontId="124" fillId="0" borderId="0"/>
    <xf numFmtId="0" fontId="125" fillId="0" borderId="0"/>
    <xf numFmtId="0" fontId="124" fillId="0" borderId="0"/>
    <xf numFmtId="0" fontId="123" fillId="0" borderId="0"/>
    <xf numFmtId="0" fontId="124"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3" fillId="0" borderId="0"/>
    <xf numFmtId="0" fontId="123" fillId="0" borderId="0"/>
    <xf numFmtId="0" fontId="124" fillId="0" borderId="0"/>
    <xf numFmtId="0" fontId="123" fillId="0" borderId="0"/>
    <xf numFmtId="0" fontId="123"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3" fillId="0" borderId="0"/>
    <xf numFmtId="0" fontId="125" fillId="0" borderId="0"/>
    <xf numFmtId="0" fontId="123"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6"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3" borderId="54"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3" borderId="54"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2" fillId="0" borderId="0"/>
    <xf numFmtId="43" fontId="112" fillId="0" borderId="0" applyFont="0" applyFill="0" applyBorder="0" applyAlignment="0" applyProtection="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74" fillId="0" borderId="0"/>
    <xf numFmtId="0" fontId="176" fillId="0" borderId="0"/>
    <xf numFmtId="43" fontId="176" fillId="0" borderId="0" applyFont="0" applyFill="0" applyBorder="0" applyAlignment="0" applyProtection="0"/>
    <xf numFmtId="44" fontId="176"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84" fillId="0" borderId="0"/>
    <xf numFmtId="0" fontId="184" fillId="0" borderId="0"/>
    <xf numFmtId="0" fontId="185" fillId="0" borderId="0"/>
    <xf numFmtId="0" fontId="185" fillId="0" borderId="0"/>
    <xf numFmtId="0" fontId="185" fillId="0" borderId="0"/>
    <xf numFmtId="0" fontId="185" fillId="0" borderId="0"/>
    <xf numFmtId="0" fontId="186" fillId="0" borderId="0"/>
    <xf numFmtId="0" fontId="184" fillId="0" borderId="0"/>
    <xf numFmtId="0" fontId="185" fillId="0" borderId="0"/>
    <xf numFmtId="0" fontId="185" fillId="0" borderId="0"/>
    <xf numFmtId="0" fontId="184" fillId="0" borderId="0"/>
    <xf numFmtId="0" fontId="185" fillId="0" borderId="0"/>
    <xf numFmtId="0" fontId="185" fillId="0" borderId="0"/>
    <xf numFmtId="0" fontId="186"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4" fillId="0" borderId="0"/>
    <xf numFmtId="0" fontId="185" fillId="0" borderId="0"/>
    <xf numFmtId="0" fontId="185" fillId="0" borderId="0"/>
    <xf numFmtId="0" fontId="184" fillId="0" borderId="0"/>
    <xf numFmtId="0" fontId="185" fillId="0" borderId="0"/>
    <xf numFmtId="0" fontId="185" fillId="0" borderId="0"/>
    <xf numFmtId="0" fontId="186" fillId="0" borderId="0"/>
    <xf numFmtId="0" fontId="185" fillId="5" borderId="7" applyNumberFormat="0" applyFont="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5" fillId="0" borderId="0"/>
    <xf numFmtId="0" fontId="186"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5" fillId="5" borderId="7" applyNumberFormat="0" applyFont="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5" fillId="0" borderId="0"/>
    <xf numFmtId="0" fontId="186" fillId="0" borderId="0"/>
    <xf numFmtId="0" fontId="185" fillId="0" borderId="0"/>
    <xf numFmtId="0" fontId="186" fillId="0" borderId="0"/>
    <xf numFmtId="0" fontId="185" fillId="0" borderId="0"/>
    <xf numFmtId="0" fontId="187"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7"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7" fillId="0" borderId="0"/>
    <xf numFmtId="0" fontId="21" fillId="0" borderId="0"/>
    <xf numFmtId="0" fontId="19" fillId="0" borderId="0"/>
    <xf numFmtId="0" fontId="21" fillId="0" borderId="0"/>
    <xf numFmtId="0" fontId="112"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0" fontId="127" fillId="0" borderId="0"/>
  </cellStyleXfs>
  <cellXfs count="1188">
    <xf numFmtId="0" fontId="0" fillId="0" borderId="0" xfId="0"/>
    <xf numFmtId="164" fontId="39" fillId="0" borderId="0" xfId="439" applyNumberFormat="1" applyFont="1" applyFill="1" applyAlignment="1" applyProtection="1">
      <alignment horizontal="center" wrapText="1"/>
    </xf>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39" fillId="0" borderId="0" xfId="682" applyFont="1"/>
    <xf numFmtId="0" fontId="51" fillId="0" borderId="0" xfId="0" applyFont="1"/>
    <xf numFmtId="0" fontId="0" fillId="0" borderId="0" xfId="0" applyNumberFormat="1" applyFont="1" applyFill="1" applyAlignment="1" applyProtection="1">
      <alignment vertical="center" wrapText="1"/>
    </xf>
    <xf numFmtId="0" fontId="53"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0" fontId="39" fillId="0" borderId="0" xfId="0" applyNumberFormat="1" applyFont="1" applyFill="1" applyAlignment="1" applyProtection="1">
      <alignment horizontal="left" vertical="center" wrapText="1" indent="3"/>
    </xf>
    <xf numFmtId="0" fontId="53" fillId="0" borderId="0" xfId="0" applyNumberFormat="1" applyFont="1" applyFill="1" applyAlignment="1" applyProtection="1">
      <alignment vertical="center" wrapText="1"/>
    </xf>
    <xf numFmtId="0" fontId="53" fillId="0" borderId="0" xfId="0" applyNumberFormat="1" applyFont="1" applyFill="1" applyAlignment="1" applyProtection="1">
      <alignment horizontal="left" vertical="center" wrapText="1" indent="3"/>
    </xf>
    <xf numFmtId="0" fontId="53" fillId="0" borderId="14" xfId="0" applyNumberFormat="1" applyFont="1" applyFill="1" applyBorder="1" applyAlignment="1" applyProtection="1">
      <alignment horizontal="left" vertical="center" wrapText="1" indent="3"/>
    </xf>
    <xf numFmtId="0" fontId="53" fillId="0" borderId="0" xfId="0" applyNumberFormat="1" applyFont="1" applyFill="1" applyAlignment="1" applyProtection="1">
      <alignment horizontal="left" vertical="center" wrapText="1" indent="6"/>
    </xf>
    <xf numFmtId="0" fontId="44" fillId="0" borderId="0" xfId="0" applyNumberFormat="1" applyFont="1" applyFill="1" applyAlignment="1" applyProtection="1">
      <alignment horizontal="center" vertical="center"/>
    </xf>
    <xf numFmtId="164" fontId="56"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57" fillId="0" borderId="25" xfId="0" applyNumberFormat="1" applyFont="1" applyFill="1" applyBorder="1" applyAlignment="1" applyProtection="1">
      <alignment horizontal="center" vertical="center"/>
    </xf>
    <xf numFmtId="0" fontId="58" fillId="0" borderId="25" xfId="0" applyNumberFormat="1" applyFont="1" applyFill="1" applyBorder="1" applyAlignment="1" applyProtection="1">
      <alignment horizontal="center" vertical="center"/>
    </xf>
    <xf numFmtId="0" fontId="39" fillId="23" borderId="25" xfId="0" applyNumberFormat="1" applyFont="1" applyFill="1" applyBorder="1" applyAlignment="1" applyProtection="1">
      <alignment horizontal="center" vertical="center"/>
    </xf>
    <xf numFmtId="0" fontId="39" fillId="0" borderId="26" xfId="0" applyNumberFormat="1" applyFont="1" applyFill="1" applyBorder="1" applyAlignment="1" applyProtection="1">
      <alignment horizontal="center" vertical="center"/>
    </xf>
    <xf numFmtId="0" fontId="49"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164" fontId="56" fillId="0" borderId="31" xfId="439" applyNumberFormat="1"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6" fillId="0" borderId="0" xfId="0" applyFont="1" applyProtection="1"/>
    <xf numFmtId="0" fontId="56" fillId="23" borderId="23" xfId="0" applyNumberFormat="1" applyFont="1" applyFill="1" applyBorder="1" applyAlignment="1" applyProtection="1">
      <alignment horizontal="left" vertical="center" wrapText="1"/>
    </xf>
    <xf numFmtId="0" fontId="56"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6"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xf>
    <xf numFmtId="0" fontId="49" fillId="0" borderId="0" xfId="0" applyFont="1" applyAlignment="1" applyProtection="1">
      <alignment wrapText="1"/>
    </xf>
    <xf numFmtId="0" fontId="44" fillId="0" borderId="23" xfId="1243" applyFont="1" applyFill="1" applyBorder="1" applyAlignment="1" applyProtection="1">
      <alignment horizontal="left" vertical="center" wrapText="1"/>
    </xf>
    <xf numFmtId="164" fontId="50" fillId="25" borderId="0" xfId="439" applyNumberFormat="1" applyFont="1" applyFill="1" applyAlignment="1" applyProtection="1">
      <alignment horizontal="center"/>
    </xf>
    <xf numFmtId="0" fontId="60"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6" fillId="22" borderId="23" xfId="439" applyNumberFormat="1" applyFont="1" applyFill="1" applyBorder="1" applyAlignment="1" applyProtection="1">
      <alignment horizontal="center" vertical="center" wrapText="1"/>
    </xf>
    <xf numFmtId="0" fontId="49" fillId="30" borderId="25" xfId="0"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0" fontId="61" fillId="0" borderId="0" xfId="720" applyNumberFormat="1" applyFont="1" applyFill="1" applyAlignment="1" applyProtection="1">
      <alignment horizontal="left" vertic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6" fillId="0" borderId="29" xfId="439" applyNumberFormat="1" applyFont="1" applyFill="1" applyBorder="1" applyAlignment="1" applyProtection="1">
      <alignment horizontal="center" vertical="center" wrapText="1"/>
    </xf>
    <xf numFmtId="39" fontId="56" fillId="23" borderId="28"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1" borderId="0" xfId="0" applyNumberFormat="1" applyFont="1" applyFill="1" applyBorder="1" applyAlignment="1" applyProtection="1">
      <alignment horizontal="center" wrapText="1"/>
    </xf>
    <xf numFmtId="0" fontId="39"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0" fillId="32" borderId="0" xfId="0" applyFont="1" applyFill="1" applyAlignment="1" applyProtection="1">
      <alignment horizontal="center" vertical="center" wrapText="1"/>
    </xf>
    <xf numFmtId="0" fontId="0" fillId="0" borderId="0" xfId="0" applyFont="1" applyProtection="1">
      <protection locked="0"/>
    </xf>
    <xf numFmtId="0" fontId="52" fillId="0" borderId="25" xfId="0" applyNumberFormat="1" applyFont="1" applyFill="1" applyBorder="1" applyAlignment="1" applyProtection="1">
      <alignment horizontal="left" vertical="center" wrapText="1"/>
    </xf>
    <xf numFmtId="0" fontId="41" fillId="0" borderId="25" xfId="0" applyNumberFormat="1" applyFont="1" applyFill="1" applyBorder="1" applyAlignment="1" applyProtection="1">
      <alignment horizontal="left" vertical="center" wrapText="1"/>
    </xf>
    <xf numFmtId="41" fontId="56" fillId="0" borderId="23" xfId="439" applyNumberFormat="1" applyFont="1" applyFill="1" applyBorder="1" applyAlignment="1" applyProtection="1">
      <alignment horizontal="center" vertical="center" wrapText="1"/>
    </xf>
    <xf numFmtId="0" fontId="47" fillId="0" borderId="23" xfId="439" applyNumberFormat="1" applyFont="1" applyFill="1" applyBorder="1" applyAlignment="1" applyProtection="1">
      <alignment horizontal="center" vertical="center" wrapText="1"/>
    </xf>
    <xf numFmtId="41" fontId="63" fillId="0" borderId="0" xfId="0" applyNumberFormat="1" applyFont="1" applyFill="1" applyAlignment="1" applyProtection="1">
      <alignment wrapText="1"/>
    </xf>
    <xf numFmtId="0" fontId="62"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56"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6" fillId="29" borderId="23" xfId="439" applyNumberFormat="1" applyFont="1" applyFill="1" applyBorder="1" applyAlignment="1" applyProtection="1">
      <alignment horizontal="center" vertical="center" wrapText="1"/>
      <protection locked="0"/>
    </xf>
    <xf numFmtId="37" fontId="57" fillId="33" borderId="28" xfId="439" applyNumberFormat="1" applyFont="1" applyFill="1" applyBorder="1" applyAlignment="1" applyProtection="1">
      <alignment horizontal="center" vertical="center" wrapText="1"/>
    </xf>
    <xf numFmtId="37" fontId="39" fillId="0" borderId="28"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6"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169" fontId="39" fillId="0" borderId="0" xfId="439" applyNumberFormat="1" applyFont="1" applyFill="1" applyAlignment="1" applyProtection="1">
      <alignment horizontal="center" vertical="center"/>
      <protection locked="0"/>
    </xf>
    <xf numFmtId="38" fontId="44"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6" fillId="0" borderId="29" xfId="439" applyNumberFormat="1" applyFont="1" applyFill="1" applyBorder="1" applyAlignment="1" applyProtection="1">
      <alignment horizontal="center" vertical="center" wrapText="1"/>
    </xf>
    <xf numFmtId="172" fontId="56" fillId="0" borderId="23" xfId="439"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xf>
    <xf numFmtId="0" fontId="53" fillId="0" borderId="0" xfId="0" applyFont="1" applyFill="1" applyAlignment="1" applyProtection="1">
      <alignment vertical="center" wrapText="1"/>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6" fillId="29" borderId="44" xfId="439" applyNumberFormat="1" applyFont="1" applyFill="1" applyBorder="1" applyAlignment="1" applyProtection="1">
      <alignment horizontal="center" vertical="center" wrapText="1"/>
      <protection locked="0"/>
    </xf>
    <xf numFmtId="164" fontId="56" fillId="0" borderId="30" xfId="439" applyNumberFormat="1" applyFont="1" applyFill="1" applyBorder="1" applyAlignment="1" applyProtection="1">
      <alignment horizontal="center" vertical="center" wrapText="1"/>
    </xf>
    <xf numFmtId="39" fontId="56" fillId="0" borderId="27" xfId="439" applyNumberFormat="1" applyFont="1" applyFill="1" applyBorder="1" applyAlignment="1" applyProtection="1">
      <alignment horizontal="center" vertical="center" wrapText="1"/>
    </xf>
    <xf numFmtId="164" fontId="56" fillId="0" borderId="46" xfId="439" applyNumberFormat="1" applyFont="1" applyFill="1" applyBorder="1" applyAlignment="1" applyProtection="1">
      <alignment horizontal="center" vertical="center" wrapText="1"/>
    </xf>
    <xf numFmtId="0" fontId="39"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6" fillId="29" borderId="45" xfId="439" applyNumberFormat="1" applyFont="1" applyFill="1" applyBorder="1" applyAlignment="1" applyProtection="1">
      <alignment horizontal="center" vertical="center" wrapText="1"/>
      <protection locked="0"/>
    </xf>
    <xf numFmtId="0" fontId="56" fillId="0" borderId="30" xfId="0" applyNumberFormat="1" applyFont="1" applyFill="1" applyBorder="1" applyAlignment="1" applyProtection="1">
      <alignment horizontal="left" vertical="center" wrapText="1"/>
    </xf>
    <xf numFmtId="0" fontId="56" fillId="23" borderId="31" xfId="0" applyNumberFormat="1" applyFont="1" applyFill="1" applyBorder="1" applyAlignment="1" applyProtection="1">
      <alignment horizontal="left" vertical="center" wrapText="1"/>
    </xf>
    <xf numFmtId="0" fontId="56" fillId="23" borderId="31" xfId="439" applyNumberFormat="1" applyFont="1" applyFill="1" applyBorder="1" applyAlignment="1" applyProtection="1">
      <alignment horizontal="center" vertical="center" wrapText="1"/>
    </xf>
    <xf numFmtId="37" fontId="39" fillId="23" borderId="29" xfId="439" applyNumberFormat="1" applyFont="1" applyFill="1" applyBorder="1" applyAlignment="1" applyProtection="1">
      <alignment horizontal="center" vertical="center" wrapText="1"/>
    </xf>
    <xf numFmtId="0" fontId="39" fillId="23" borderId="26" xfId="0" applyNumberFormat="1" applyFont="1" applyFill="1" applyBorder="1" applyAlignment="1" applyProtection="1">
      <alignment horizontal="center" vertical="center"/>
    </xf>
    <xf numFmtId="37" fontId="39" fillId="0" borderId="27" xfId="439" applyNumberFormat="1" applyFont="1" applyFill="1" applyBorder="1" applyAlignment="1" applyProtection="1">
      <alignment horizontal="center" vertical="center" wrapText="1"/>
    </xf>
    <xf numFmtId="0" fontId="39"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39"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68" fillId="0" borderId="0" xfId="0" applyNumberFormat="1" applyFont="1" applyFill="1" applyAlignment="1" applyProtection="1">
      <alignment horizontal="left" vertical="center" wrapText="1" indent="6"/>
    </xf>
    <xf numFmtId="0" fontId="56"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41" fontId="64" fillId="0" borderId="0" xfId="0" applyNumberFormat="1" applyFont="1" applyFill="1" applyAlignment="1" applyProtection="1">
      <alignment wrapText="1"/>
    </xf>
    <xf numFmtId="37" fontId="0" fillId="0" borderId="0" xfId="0" applyNumberFormat="1" applyFont="1" applyFill="1" applyAlignment="1" applyProtection="1">
      <alignment horizontal="center" vertical="center"/>
    </xf>
    <xf numFmtId="164" fontId="49" fillId="0" borderId="0" xfId="0" applyNumberFormat="1" applyFont="1" applyAlignment="1" applyProtection="1">
      <alignment wrapText="1"/>
    </xf>
    <xf numFmtId="164" fontId="56" fillId="22" borderId="23" xfId="439" applyNumberFormat="1" applyFont="1" applyFill="1" applyBorder="1" applyAlignment="1" applyProtection="1">
      <alignment horizontal="center" vertical="center" wrapText="1"/>
      <protection locked="0"/>
    </xf>
    <xf numFmtId="172" fontId="56" fillId="22" borderId="23" xfId="439" applyNumberFormat="1" applyFont="1" applyFill="1" applyBorder="1" applyAlignment="1" applyProtection="1">
      <alignment horizontal="center" vertical="center" wrapText="1"/>
    </xf>
    <xf numFmtId="39" fontId="56" fillId="22" borderId="28" xfId="439" applyNumberFormat="1" applyFont="1" applyFill="1" applyBorder="1" applyAlignment="1" applyProtection="1">
      <alignment horizontal="center" vertical="center" wrapText="1"/>
    </xf>
    <xf numFmtId="164" fontId="56" fillId="22" borderId="29" xfId="439" applyNumberFormat="1" applyFont="1" applyFill="1" applyBorder="1" applyAlignment="1" applyProtection="1">
      <alignment horizontal="center" vertical="center" wrapText="1"/>
    </xf>
    <xf numFmtId="0" fontId="39" fillId="22" borderId="24" xfId="0" applyNumberFormat="1" applyFont="1" applyFill="1" applyBorder="1" applyAlignment="1" applyProtection="1">
      <alignment horizontal="center" vertical="center"/>
    </xf>
    <xf numFmtId="164" fontId="56" fillId="29" borderId="31"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2" fontId="56" fillId="22" borderId="30" xfId="439" applyNumberFormat="1" applyFont="1" applyFill="1" applyBorder="1" applyAlignment="1" applyProtection="1">
      <alignment horizontal="center" vertical="center" wrapText="1"/>
    </xf>
    <xf numFmtId="175" fontId="56" fillId="75" borderId="23" xfId="439" applyNumberFormat="1" applyFont="1" applyFill="1" applyBorder="1" applyAlignment="1" applyProtection="1">
      <alignment horizontal="center" vertical="center" wrapText="1"/>
    </xf>
    <xf numFmtId="3" fontId="56" fillId="0" borderId="23" xfId="439" applyNumberFormat="1" applyFont="1" applyFill="1" applyBorder="1" applyAlignment="1" applyProtection="1">
      <alignment horizontal="center" vertical="center" wrapText="1"/>
      <protection locked="0"/>
    </xf>
    <xf numFmtId="180" fontId="56" fillId="75" borderId="23" xfId="439" applyNumberFormat="1" applyFont="1" applyFill="1" applyBorder="1" applyAlignment="1" applyProtection="1">
      <alignment horizontal="center" vertical="center" wrapText="1"/>
    </xf>
    <xf numFmtId="39" fontId="56" fillId="0" borderId="23" xfId="439" applyNumberFormat="1" applyFont="1" applyFill="1" applyBorder="1" applyAlignment="1" applyProtection="1">
      <alignment horizontal="center" vertical="center" wrapText="1"/>
    </xf>
    <xf numFmtId="3" fontId="56" fillId="0" borderId="31" xfId="439" applyNumberFormat="1" applyFont="1" applyFill="1" applyBorder="1" applyAlignment="1" applyProtection="1">
      <alignment horizontal="center" vertical="center" wrapText="1"/>
    </xf>
    <xf numFmtId="3" fontId="56" fillId="23" borderId="31" xfId="439" applyNumberFormat="1" applyFont="1" applyFill="1" applyBorder="1" applyAlignment="1" applyProtection="1">
      <alignment horizontal="center" vertical="center" wrapText="1"/>
    </xf>
    <xf numFmtId="3" fontId="56" fillId="23" borderId="23" xfId="439" applyNumberFormat="1" applyFont="1" applyFill="1" applyBorder="1" applyAlignment="1" applyProtection="1">
      <alignment horizontal="center" vertical="center" wrapText="1"/>
    </xf>
    <xf numFmtId="3" fontId="56" fillId="0" borderId="30" xfId="439" applyNumberFormat="1" applyFont="1" applyFill="1" applyBorder="1" applyAlignment="1" applyProtection="1">
      <alignment horizontal="center" vertical="center" wrapText="1"/>
    </xf>
    <xf numFmtId="37" fontId="56" fillId="0" borderId="23"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2" fillId="0" borderId="0" xfId="0" applyFont="1" applyProtection="1"/>
    <xf numFmtId="0" fontId="39" fillId="0" borderId="57"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3" fontId="39" fillId="0" borderId="0" xfId="439" applyNumberFormat="1" applyFont="1" applyFill="1" applyAlignment="1" applyProtection="1">
      <alignment horizontal="center" vertical="center" wrapText="1"/>
      <protection locked="0"/>
    </xf>
    <xf numFmtId="0" fontId="0" fillId="0" borderId="0" xfId="0" applyAlignment="1">
      <alignment horizontal="center"/>
    </xf>
    <xf numFmtId="0" fontId="0" fillId="0" borderId="61" xfId="0" applyNumberFormat="1" applyFont="1" applyFill="1" applyBorder="1" applyAlignment="1">
      <alignment horizontal="center"/>
    </xf>
    <xf numFmtId="0" fontId="80" fillId="0" borderId="0" xfId="0" applyFont="1" applyAlignment="1">
      <alignment horizontal="center"/>
    </xf>
    <xf numFmtId="0" fontId="39" fillId="0" borderId="24" xfId="0" applyFont="1" applyBorder="1" applyAlignment="1">
      <alignment horizontal="center" vertical="center"/>
    </xf>
    <xf numFmtId="0" fontId="39" fillId="0" borderId="0" xfId="0" applyFont="1" applyAlignment="1">
      <alignment vertical="center"/>
    </xf>
    <xf numFmtId="171" fontId="56" fillId="75" borderId="29" xfId="439" applyNumberFormat="1" applyFont="1" applyFill="1" applyBorder="1" applyAlignment="1" applyProtection="1">
      <alignment horizontal="center" vertical="center" wrapText="1"/>
    </xf>
    <xf numFmtId="0" fontId="39" fillId="74" borderId="64" xfId="0" applyNumberFormat="1" applyFont="1" applyFill="1" applyBorder="1" applyAlignment="1" applyProtection="1">
      <alignment horizontal="center" vertical="center"/>
    </xf>
    <xf numFmtId="0" fontId="0" fillId="73" borderId="0" xfId="0" applyFill="1"/>
    <xf numFmtId="0" fontId="116" fillId="73" borderId="0" xfId="0" applyFont="1" applyFill="1" applyAlignment="1">
      <alignment vertical="center" wrapText="1"/>
    </xf>
    <xf numFmtId="0" fontId="46" fillId="73" borderId="0" xfId="0" applyFont="1" applyFill="1" applyAlignment="1">
      <alignment horizontal="justify" vertical="center"/>
    </xf>
    <xf numFmtId="0" fontId="121" fillId="77" borderId="0" xfId="0" applyFont="1" applyFill="1" applyAlignment="1">
      <alignment vertical="center"/>
    </xf>
    <xf numFmtId="0" fontId="60" fillId="0" borderId="45" xfId="0" applyFont="1" applyFill="1" applyBorder="1" applyAlignment="1" applyProtection="1">
      <alignment horizontal="center" vertical="center" wrapText="1"/>
    </xf>
    <xf numFmtId="0" fontId="60" fillId="32" borderId="45" xfId="0" applyFont="1" applyFill="1" applyBorder="1" applyAlignment="1" applyProtection="1">
      <alignment horizontal="center" vertical="center" wrapText="1"/>
    </xf>
    <xf numFmtId="0" fontId="56" fillId="31" borderId="25" xfId="0" applyNumberFormat="1" applyFont="1" applyFill="1" applyBorder="1" applyAlignment="1" applyProtection="1">
      <alignment horizontal="left" vertical="center" wrapText="1"/>
    </xf>
    <xf numFmtId="0" fontId="41" fillId="31" borderId="66" xfId="0" applyFont="1" applyFill="1" applyBorder="1" applyAlignment="1">
      <alignment wrapText="1"/>
    </xf>
    <xf numFmtId="14" fontId="41" fillId="31" borderId="66" xfId="0" applyNumberFormat="1" applyFont="1" applyFill="1" applyBorder="1" applyAlignment="1">
      <alignment wrapText="1"/>
    </xf>
    <xf numFmtId="0" fontId="39" fillId="31" borderId="64" xfId="0" applyNumberFormat="1" applyFont="1" applyFill="1" applyBorder="1" applyAlignment="1" applyProtection="1">
      <alignment horizontal="center" vertical="center"/>
    </xf>
    <xf numFmtId="49" fontId="56" fillId="0" borderId="23" xfId="439" applyNumberFormat="1" applyFont="1" applyFill="1" applyBorder="1" applyAlignment="1" applyProtection="1">
      <alignment horizontal="center" vertical="center" wrapText="1"/>
    </xf>
    <xf numFmtId="0" fontId="117" fillId="73" borderId="0" xfId="0" applyFont="1" applyFill="1" applyAlignment="1">
      <alignment horizontal="left" vertical="center" wrapText="1"/>
    </xf>
    <xf numFmtId="0" fontId="33" fillId="73" borderId="0" xfId="30098" applyFill="1"/>
    <xf numFmtId="0" fontId="120" fillId="77" borderId="0" xfId="30098" applyFont="1" applyFill="1" applyAlignment="1">
      <alignment horizontal="center" vertical="center" wrapText="1"/>
    </xf>
    <xf numFmtId="0" fontId="116" fillId="73" borderId="0" xfId="30098" applyFont="1" applyFill="1" applyAlignment="1">
      <alignment vertical="center" wrapText="1"/>
    </xf>
    <xf numFmtId="0" fontId="46" fillId="73" borderId="0" xfId="30098" applyFont="1" applyFill="1" applyAlignment="1">
      <alignment vertical="center" wrapText="1"/>
    </xf>
    <xf numFmtId="0" fontId="121" fillId="77" borderId="0" xfId="30098" applyFont="1" applyFill="1" applyAlignment="1">
      <alignment vertical="center"/>
    </xf>
    <xf numFmtId="0" fontId="0" fillId="0" borderId="0" xfId="0" applyNumberFormat="1" applyFont="1" applyFill="1" applyBorder="1" applyAlignment="1" applyProtection="1">
      <alignment horizontal="left" vertical="center" wrapText="1"/>
    </xf>
    <xf numFmtId="0" fontId="0" fillId="0" borderId="0" xfId="0"/>
    <xf numFmtId="38" fontId="44" fillId="29" borderId="0" xfId="439" applyNumberFormat="1" applyFont="1" applyFill="1" applyAlignment="1" applyProtection="1">
      <alignment horizontal="center" vertical="center" wrapText="1"/>
      <protection locked="0"/>
    </xf>
    <xf numFmtId="0" fontId="39" fillId="0" borderId="43" xfId="0" applyNumberFormat="1" applyFont="1" applyFill="1" applyBorder="1" applyAlignment="1" applyProtection="1">
      <alignment horizontal="center" vertical="center"/>
    </xf>
    <xf numFmtId="0" fontId="39" fillId="0" borderId="0" xfId="0" applyFont="1" applyAlignment="1">
      <alignment horizontal="center"/>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39" fillId="0" borderId="26"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45" xfId="0" applyFont="1" applyFill="1" applyBorder="1" applyAlignment="1">
      <alignment horizontal="center" vertical="center"/>
    </xf>
    <xf numFmtId="0" fontId="39" fillId="0" borderId="43" xfId="0" applyFont="1" applyFill="1" applyBorder="1" applyAlignment="1">
      <alignment horizontal="center" vertical="center"/>
    </xf>
    <xf numFmtId="0" fontId="58" fillId="0" borderId="25" xfId="0" applyFont="1" applyFill="1" applyBorder="1" applyAlignment="1">
      <alignment horizontal="center" vertical="center"/>
    </xf>
    <xf numFmtId="0" fontId="49" fillId="0" borderId="25" xfId="0" applyFont="1" applyFill="1" applyBorder="1" applyAlignment="1">
      <alignment horizontal="center" vertical="center" wrapText="1"/>
    </xf>
    <xf numFmtId="0" fontId="57" fillId="0" borderId="25" xfId="0" applyFont="1" applyFill="1" applyBorder="1" applyAlignment="1">
      <alignment horizontal="center" vertical="center"/>
    </xf>
    <xf numFmtId="0" fontId="39" fillId="0" borderId="64" xfId="0" applyFont="1" applyFill="1" applyBorder="1" applyAlignment="1">
      <alignment horizontal="center" vertical="center"/>
    </xf>
    <xf numFmtId="0" fontId="68" fillId="0" borderId="0" xfId="0" applyFont="1" applyFill="1"/>
    <xf numFmtId="0" fontId="39" fillId="0" borderId="0" xfId="0" applyFont="1" applyFill="1" applyBorder="1" applyAlignment="1">
      <alignment horizontal="center" vertical="center"/>
    </xf>
    <xf numFmtId="0" fontId="52" fillId="0" borderId="30" xfId="0" applyNumberFormat="1" applyFont="1" applyFill="1" applyBorder="1" applyAlignment="1" applyProtection="1">
      <alignment horizontal="left" vertical="center" wrapText="1"/>
    </xf>
    <xf numFmtId="39" fontId="56" fillId="0" borderId="45" xfId="439" applyNumberFormat="1" applyFont="1" applyFill="1" applyBorder="1" applyAlignment="1" applyProtection="1">
      <alignment horizontal="center" vertical="center" wrapText="1"/>
    </xf>
    <xf numFmtId="0" fontId="61" fillId="0" borderId="0" xfId="0" applyNumberFormat="1" applyFont="1" applyFill="1" applyAlignment="1" applyProtection="1">
      <alignment horizontal="left" vertical="center" wrapText="1"/>
    </xf>
    <xf numFmtId="0" fontId="56" fillId="34" borderId="25" xfId="0" applyNumberFormat="1" applyFont="1" applyFill="1" applyBorder="1" applyAlignment="1" applyProtection="1">
      <alignment horizontal="left" vertical="center" wrapText="1"/>
    </xf>
    <xf numFmtId="180" fontId="56"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39" fillId="0" borderId="45" xfId="439" applyNumberFormat="1" applyFont="1" applyFill="1" applyBorder="1" applyAlignment="1" applyProtection="1">
      <alignment horizontal="center" vertical="center" wrapText="1"/>
    </xf>
    <xf numFmtId="0" fontId="61" fillId="0" borderId="45" xfId="0" applyNumberFormat="1" applyFont="1" applyFill="1" applyBorder="1" applyAlignment="1" applyProtection="1">
      <alignment horizontal="left" vertical="center" wrapText="1"/>
    </xf>
    <xf numFmtId="0" fontId="56" fillId="0" borderId="28" xfId="0" applyNumberFormat="1" applyFont="1" applyFill="1" applyBorder="1" applyAlignment="1" applyProtection="1">
      <alignment horizontal="left" vertical="center" wrapText="1"/>
    </xf>
    <xf numFmtId="0" fontId="39" fillId="0" borderId="45" xfId="0" applyNumberFormat="1" applyFont="1" applyFill="1" applyBorder="1" applyAlignment="1" applyProtection="1">
      <alignment horizontal="center" vertical="center"/>
    </xf>
    <xf numFmtId="164" fontId="56" fillId="0" borderId="45"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39" fillId="0" borderId="25" xfId="0" applyNumberFormat="1" applyFont="1" applyFill="1" applyBorder="1" applyAlignment="1" applyProtection="1">
      <alignment horizontal="center" vertical="center"/>
    </xf>
    <xf numFmtId="164" fontId="56" fillId="0" borderId="29" xfId="439" applyNumberFormat="1" applyFont="1" applyFill="1" applyBorder="1" applyAlignment="1" applyProtection="1">
      <alignment horizontal="center" vertical="center" wrapText="1"/>
    </xf>
    <xf numFmtId="164" fontId="56" fillId="0" borderId="23" xfId="439" applyNumberFormat="1" applyFont="1" applyFill="1" applyBorder="1" applyAlignment="1" applyProtection="1">
      <alignment horizontal="center" vertical="center" wrapText="1"/>
    </xf>
    <xf numFmtId="0" fontId="56" fillId="0" borderId="23" xfId="0" applyNumberFormat="1" applyFont="1" applyFill="1" applyBorder="1" applyAlignment="1" applyProtection="1">
      <alignment horizontal="left" vertical="center" wrapText="1"/>
    </xf>
    <xf numFmtId="39" fontId="56" fillId="0" borderId="28" xfId="439" applyNumberFormat="1" applyFont="1" applyFill="1" applyBorder="1" applyAlignment="1" applyProtection="1">
      <alignment horizontal="center" vertical="center" wrapText="1"/>
    </xf>
    <xf numFmtId="164" fontId="56"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6" fillId="34" borderId="23" xfId="0" applyNumberFormat="1" applyFont="1" applyFill="1" applyBorder="1" applyAlignment="1" applyProtection="1">
      <alignment horizontal="left" vertical="center" wrapText="1"/>
    </xf>
    <xf numFmtId="164" fontId="56" fillId="29" borderId="23" xfId="439" applyNumberFormat="1" applyFont="1" applyFill="1" applyBorder="1" applyAlignment="1" applyProtection="1">
      <alignment horizontal="center" vertical="center" wrapText="1"/>
      <protection locked="0"/>
    </xf>
    <xf numFmtId="3" fontId="56" fillId="0" borderId="23" xfId="439" applyNumberFormat="1" applyFont="1" applyFill="1" applyBorder="1" applyAlignment="1" applyProtection="1">
      <alignment horizontal="center" vertical="center" wrapText="1"/>
    </xf>
    <xf numFmtId="3" fontId="56" fillId="34" borderId="23" xfId="439" applyNumberFormat="1" applyFont="1" applyFill="1" applyBorder="1" applyAlignment="1" applyProtection="1">
      <alignment horizontal="center" vertical="center" wrapText="1"/>
    </xf>
    <xf numFmtId="0" fontId="56" fillId="22" borderId="23" xfId="439" applyNumberFormat="1" applyFont="1" applyFill="1" applyBorder="1" applyAlignment="1" applyProtection="1">
      <alignment horizontal="center" vertical="center" wrapText="1"/>
      <protection locked="0"/>
    </xf>
    <xf numFmtId="3" fontId="56" fillId="0" borderId="45" xfId="439" applyNumberFormat="1" applyFont="1" applyFill="1" applyBorder="1" applyAlignment="1" applyProtection="1">
      <alignment horizontal="center" vertical="center" wrapText="1"/>
    </xf>
    <xf numFmtId="0" fontId="56" fillId="0" borderId="45" xfId="0" applyNumberFormat="1" applyFont="1" applyFill="1" applyBorder="1" applyAlignment="1" applyProtection="1">
      <alignment horizontal="left" vertical="center" wrapText="1"/>
    </xf>
    <xf numFmtId="14" fontId="0" fillId="0" borderId="0" xfId="0" applyNumberFormat="1" applyFont="1" applyFill="1" applyAlignment="1" applyProtection="1">
      <alignment horizontal="center" vertical="center"/>
    </xf>
    <xf numFmtId="0" fontId="56" fillId="78" borderId="25" xfId="0" applyNumberFormat="1" applyFont="1" applyFill="1" applyBorder="1" applyAlignment="1" applyProtection="1">
      <alignment horizontal="left" vertical="center" wrapText="1"/>
    </xf>
    <xf numFmtId="0" fontId="56" fillId="78" borderId="23" xfId="0" applyNumberFormat="1" applyFont="1" applyFill="1" applyBorder="1" applyAlignment="1" applyProtection="1">
      <alignment horizontal="left" vertical="center" wrapText="1"/>
    </xf>
    <xf numFmtId="0" fontId="39" fillId="78" borderId="43" xfId="0" applyNumberFormat="1" applyFont="1" applyFill="1" applyBorder="1" applyAlignment="1" applyProtection="1">
      <alignment horizontal="center" vertical="center"/>
    </xf>
    <xf numFmtId="0" fontId="39"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39"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68" fillId="0" borderId="0" xfId="0" applyFont="1" applyAlignment="1" applyProtection="1">
      <alignment wrapText="1"/>
      <protection locked="0"/>
    </xf>
    <xf numFmtId="3" fontId="39" fillId="0" borderId="0" xfId="439" applyNumberFormat="1" applyFont="1" applyFill="1" applyAlignment="1" applyProtection="1">
      <alignment horizontal="center" vertical="center" wrapText="1"/>
    </xf>
    <xf numFmtId="164" fontId="49" fillId="0" borderId="0" xfId="0" applyNumberFormat="1" applyFont="1" applyFill="1" applyAlignment="1" applyProtection="1">
      <alignment wrapText="1"/>
    </xf>
    <xf numFmtId="164" fontId="49" fillId="78" borderId="10" xfId="0" applyNumberFormat="1" applyFont="1" applyFill="1" applyBorder="1" applyAlignment="1" applyProtection="1">
      <alignment horizontal="center" vertical="center" wrapText="1"/>
    </xf>
    <xf numFmtId="0" fontId="41" fillId="78" borderId="0" xfId="0" applyFont="1" applyFill="1" applyBorder="1" applyAlignment="1">
      <alignment wrapText="1"/>
    </xf>
    <xf numFmtId="0" fontId="39" fillId="78" borderId="64" xfId="0" applyNumberFormat="1" applyFont="1" applyFill="1" applyBorder="1" applyAlignment="1" applyProtection="1">
      <alignment horizontal="center" vertical="center"/>
    </xf>
    <xf numFmtId="0" fontId="41" fillId="78" borderId="23"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8" fontId="44" fillId="79" borderId="0" xfId="29549" applyNumberFormat="1" applyFont="1" applyFill="1" applyProtection="1"/>
    <xf numFmtId="38" fontId="44" fillId="0" borderId="0" xfId="29549" applyNumberFormat="1" applyFont="1" applyFill="1" applyProtection="1"/>
    <xf numFmtId="164" fontId="44" fillId="0" borderId="0" xfId="29549" applyNumberFormat="1" applyFont="1" applyFill="1" applyBorder="1" applyProtection="1"/>
    <xf numFmtId="172" fontId="44" fillId="0" borderId="0" xfId="29549" applyNumberFormat="1" applyFont="1" applyFill="1" applyBorder="1" applyAlignment="1" applyProtection="1">
      <alignment horizontal="left"/>
    </xf>
    <xf numFmtId="164" fontId="44" fillId="0" borderId="0" xfId="29549" applyNumberFormat="1" applyFont="1" applyBorder="1" applyProtection="1"/>
    <xf numFmtId="167" fontId="44" fillId="0" borderId="0" xfId="29549" applyNumberFormat="1" applyFont="1" applyProtection="1"/>
    <xf numFmtId="43" fontId="44" fillId="0" borderId="68" xfId="29549" applyFont="1" applyBorder="1" applyAlignment="1" applyProtection="1">
      <alignment horizontal="right"/>
    </xf>
    <xf numFmtId="0" fontId="0" fillId="0" borderId="0" xfId="682" applyFont="1"/>
    <xf numFmtId="0" fontId="131" fillId="26" borderId="0" xfId="682" applyFont="1" applyFill="1"/>
    <xf numFmtId="0" fontId="49" fillId="0" borderId="17" xfId="682" applyFont="1" applyBorder="1" applyAlignment="1">
      <alignment horizontal="center"/>
    </xf>
    <xf numFmtId="0" fontId="132" fillId="0" borderId="0" xfId="682" applyFont="1"/>
    <xf numFmtId="0" fontId="132" fillId="0" borderId="0" xfId="682" applyFont="1" applyAlignment="1">
      <alignment vertical="center"/>
    </xf>
    <xf numFmtId="0" fontId="49" fillId="0" borderId="14" xfId="682" applyFont="1" applyBorder="1" applyAlignment="1">
      <alignment horizontal="center" vertical="center" wrapText="1"/>
    </xf>
    <xf numFmtId="0" fontId="133" fillId="0" borderId="0" xfId="682" applyFont="1"/>
    <xf numFmtId="0" fontId="52" fillId="0" borderId="0" xfId="682" applyFont="1"/>
    <xf numFmtId="167" fontId="52" fillId="0" borderId="0" xfId="546" applyNumberFormat="1" applyFont="1"/>
    <xf numFmtId="38" fontId="52" fillId="0" borderId="0" xfId="682" applyNumberFormat="1" applyFont="1"/>
    <xf numFmtId="38" fontId="52" fillId="0" borderId="0" xfId="449" applyNumberFormat="1" applyFont="1"/>
    <xf numFmtId="0" fontId="133" fillId="0" borderId="0" xfId="682" applyFont="1" applyAlignment="1">
      <alignment vertical="center"/>
    </xf>
    <xf numFmtId="0" fontId="135" fillId="0" borderId="0" xfId="682" applyFont="1"/>
    <xf numFmtId="0" fontId="49" fillId="0" borderId="0" xfId="682" applyFont="1"/>
    <xf numFmtId="0" fontId="49" fillId="0" borderId="0" xfId="682" applyFont="1" applyAlignment="1">
      <alignment horizontal="center"/>
    </xf>
    <xf numFmtId="10" fontId="49" fillId="0" borderId="19" xfId="682" applyNumberFormat="1" applyFont="1" applyBorder="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4"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37" fillId="76" borderId="63" xfId="1562" applyNumberFormat="1" applyFont="1" applyFill="1" applyBorder="1" applyAlignment="1">
      <alignment horizontal="center" vertical="center" wrapText="1"/>
    </xf>
    <xf numFmtId="0" fontId="0" fillId="23" borderId="25" xfId="0" applyNumberFormat="1" applyFont="1" applyFill="1" applyBorder="1" applyAlignment="1" applyProtection="1">
      <alignment horizontal="left" vertical="center" wrapText="1"/>
    </xf>
    <xf numFmtId="3" fontId="44" fillId="0" borderId="0" xfId="1540" applyFont="1" applyFill="1" applyAlignment="1" applyProtection="1">
      <alignment vertical="center" wrapText="1"/>
    </xf>
    <xf numFmtId="181" fontId="0" fillId="75" borderId="28" xfId="439" applyNumberFormat="1" applyFont="1" applyFill="1" applyBorder="1" applyAlignment="1" applyProtection="1">
      <alignment vertical="center"/>
    </xf>
    <xf numFmtId="0" fontId="0" fillId="0" borderId="0" xfId="0" applyFont="1" applyAlignment="1">
      <alignment wrapText="1"/>
    </xf>
    <xf numFmtId="0" fontId="0" fillId="78" borderId="25" xfId="0" applyNumberFormat="1" applyFont="1" applyFill="1" applyBorder="1" applyAlignment="1" applyProtection="1">
      <alignment horizontal="left" vertical="center" wrapText="1"/>
    </xf>
    <xf numFmtId="0" fontId="137"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quotePrefix="1" applyFont="1" applyFill="1" applyAlignment="1" applyProtection="1">
      <alignment horizontal="center"/>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39" fillId="0" borderId="59" xfId="0" applyFont="1" applyFill="1" applyBorder="1" applyAlignment="1">
      <alignment vertical="center"/>
    </xf>
    <xf numFmtId="174" fontId="39" fillId="28" borderId="0" xfId="439" applyNumberFormat="1" applyFont="1" applyFill="1" applyAlignment="1" applyProtection="1">
      <alignment horizontal="center" vertical="center"/>
      <protection locked="0"/>
    </xf>
    <xf numFmtId="0" fontId="44" fillId="0" borderId="0" xfId="0" applyNumberFormat="1" applyFont="1" applyFill="1" applyAlignment="1" applyProtection="1">
      <alignment horizontal="left" vertical="center" wrapText="1"/>
    </xf>
    <xf numFmtId="0" fontId="53" fillId="0" borderId="0" xfId="0" applyFont="1" applyFill="1" applyAlignment="1" applyProtection="1">
      <alignment horizontal="left" vertical="center" wrapText="1"/>
    </xf>
    <xf numFmtId="0" fontId="0" fillId="0" borderId="32" xfId="0" applyFont="1" applyFill="1" applyBorder="1" applyAlignment="1">
      <alignment horizontal="center" wrapText="1"/>
    </xf>
    <xf numFmtId="0" fontId="44" fillId="0" borderId="0" xfId="0" applyFont="1" applyFill="1" applyAlignment="1" applyProtection="1">
      <alignment horizontal="left" vertical="center" wrapText="1"/>
      <protection hidden="1"/>
    </xf>
    <xf numFmtId="0" fontId="44" fillId="0" borderId="62" xfId="0" applyFont="1" applyFill="1" applyBorder="1" applyAlignment="1">
      <alignment vertical="center" wrapText="1"/>
    </xf>
    <xf numFmtId="0" fontId="61" fillId="0" borderId="62"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0" xfId="0" applyFont="1" applyFill="1" applyBorder="1" applyAlignment="1" applyProtection="1">
      <alignment horizontal="center"/>
    </xf>
    <xf numFmtId="0" fontId="39" fillId="21" borderId="22" xfId="0" applyFont="1" applyFill="1" applyBorder="1" applyAlignment="1" applyProtection="1">
      <alignment horizontal="center" wrapText="1"/>
    </xf>
    <xf numFmtId="41" fontId="68" fillId="28" borderId="0" xfId="439" applyNumberFormat="1" applyFont="1" applyFill="1" applyAlignment="1" applyProtection="1">
      <alignment wrapText="1"/>
    </xf>
    <xf numFmtId="41" fontId="69"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68"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68" fillId="0" borderId="0" xfId="0" applyNumberFormat="1" applyFont="1" applyFill="1" applyAlignment="1" applyProtection="1">
      <alignment wrapText="1"/>
    </xf>
    <xf numFmtId="164" fontId="0" fillId="0" borderId="45" xfId="0" applyNumberFormat="1" applyFont="1" applyFill="1" applyBorder="1" applyAlignment="1" applyProtection="1">
      <alignment wrapText="1"/>
      <protection locked="0"/>
    </xf>
    <xf numFmtId="0" fontId="39" fillId="0" borderId="0" xfId="0" applyFont="1" applyFill="1" applyAlignment="1" applyProtection="1">
      <alignment horizontal="center" vertical="center" wrapText="1"/>
    </xf>
    <xf numFmtId="0" fontId="0" fillId="0" borderId="0" xfId="0" applyFont="1" applyBorder="1" applyAlignment="1" applyProtection="1">
      <alignment wrapText="1"/>
    </xf>
    <xf numFmtId="37" fontId="0" fillId="0" borderId="0" xfId="0" applyNumberFormat="1" applyFont="1" applyAlignment="1" applyProtection="1">
      <alignment wrapText="1"/>
      <protection locked="0"/>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39" fillId="0" borderId="0" xfId="0" applyNumberFormat="1" applyFont="1" applyFill="1" applyAlignment="1" applyProtection="1">
      <alignment wrapText="1"/>
    </xf>
    <xf numFmtId="41" fontId="69" fillId="0" borderId="0" xfId="0" applyNumberFormat="1" applyFont="1" applyFill="1" applyAlignment="1" applyProtection="1">
      <alignment horizontal="center" wrapText="1"/>
    </xf>
    <xf numFmtId="0" fontId="39"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68" fillId="0" borderId="0" xfId="439" applyNumberFormat="1" applyFont="1" applyFill="1" applyAlignment="1" applyProtection="1">
      <alignment vertical="center" wrapText="1"/>
    </xf>
    <xf numFmtId="39" fontId="68"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39" fillId="0" borderId="0" xfId="0" applyFont="1" applyAlignment="1" applyProtection="1">
      <alignment wrapText="1"/>
      <protection locked="0"/>
    </xf>
    <xf numFmtId="2" fontId="0" fillId="0" borderId="0" xfId="0" applyNumberFormat="1" applyFont="1" applyAlignment="1" applyProtection="1">
      <alignment wrapText="1"/>
      <protection locked="0"/>
    </xf>
    <xf numFmtId="14" fontId="0" fillId="0" borderId="0" xfId="0" applyNumberFormat="1" applyFont="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8" fillId="0" borderId="0" xfId="439" applyNumberFormat="1" applyFont="1" applyFill="1" applyAlignment="1" applyProtection="1">
      <alignment vertical="center" wrapText="1"/>
      <protection locked="0"/>
    </xf>
    <xf numFmtId="0" fontId="39" fillId="31" borderId="37" xfId="0" applyFont="1" applyFill="1" applyBorder="1" applyAlignment="1">
      <alignment horizontal="center" vertical="center" wrapText="1"/>
    </xf>
    <xf numFmtId="0" fontId="39" fillId="31" borderId="39" xfId="0" applyFont="1" applyFill="1" applyBorder="1" applyAlignment="1">
      <alignment horizontal="center" vertical="center" wrapText="1"/>
    </xf>
    <xf numFmtId="41" fontId="68"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44" fillId="0" borderId="0" xfId="0" applyNumberFormat="1" applyFont="1" applyFill="1" applyAlignment="1" applyProtection="1">
      <alignment horizontal="left" vertical="center" wrapText="1"/>
    </xf>
    <xf numFmtId="0" fontId="144" fillId="0" borderId="0" xfId="0" applyFont="1" applyFill="1" applyAlignment="1" applyProtection="1">
      <alignment horizontal="left" vertical="center" wrapText="1"/>
    </xf>
    <xf numFmtId="0" fontId="44" fillId="0" borderId="0" xfId="0" applyFont="1" applyFill="1" applyAlignment="1" applyProtection="1">
      <alignment horizontal="center" vertical="center" wrapText="1"/>
    </xf>
    <xf numFmtId="0" fontId="44"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4" fillId="0" borderId="45" xfId="0" applyFont="1" applyFill="1" applyBorder="1" applyAlignment="1" applyProtection="1">
      <alignment horizontal="center" vertical="center" wrapText="1"/>
    </xf>
    <xf numFmtId="0" fontId="39"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61" fillId="0" borderId="0" xfId="0" applyFont="1" applyFill="1" applyAlignment="1" applyProtection="1">
      <alignment horizontal="center" vertical="center" wrapText="1"/>
    </xf>
    <xf numFmtId="3" fontId="151" fillId="0" borderId="0" xfId="1540" applyFont="1" applyFill="1" applyAlignment="1" applyProtection="1">
      <alignment vertical="center" wrapText="1"/>
    </xf>
    <xf numFmtId="0" fontId="39" fillId="0" borderId="0" xfId="0" applyFont="1" applyFill="1" applyAlignment="1" applyProtection="1">
      <alignment horizontal="center" vertical="center"/>
    </xf>
    <xf numFmtId="0" fontId="39" fillId="74" borderId="0" xfId="0" applyFont="1" applyFill="1" applyAlignment="1" applyProtection="1">
      <alignment vertical="center"/>
    </xf>
    <xf numFmtId="0" fontId="39" fillId="74" borderId="0" xfId="0" applyFont="1" applyFill="1" applyAlignment="1" applyProtection="1"/>
    <xf numFmtId="0" fontId="39" fillId="74" borderId="0" xfId="0" applyFont="1" applyFill="1" applyAlignment="1" applyProtection="1">
      <alignment wrapText="1"/>
    </xf>
    <xf numFmtId="2"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37" fontId="0" fillId="74" borderId="0" xfId="439" applyNumberFormat="1" applyFont="1" applyFill="1" applyAlignment="1" applyProtection="1">
      <alignment horizontal="center" vertical="center"/>
      <protection locked="0"/>
    </xf>
    <xf numFmtId="41" fontId="68" fillId="74" borderId="0" xfId="439" applyNumberFormat="1" applyFont="1" applyFill="1" applyAlignment="1" applyProtection="1">
      <alignment wrapText="1"/>
    </xf>
    <xf numFmtId="0" fontId="39"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69" fillId="74" borderId="0" xfId="439" applyNumberFormat="1" applyFont="1" applyFill="1" applyAlignment="1" applyProtection="1">
      <alignment wrapText="1"/>
    </xf>
    <xf numFmtId="0" fontId="57" fillId="74" borderId="0" xfId="0" applyFont="1" applyFill="1" applyAlignment="1" applyProtection="1">
      <alignment horizontal="left" vertical="center"/>
    </xf>
    <xf numFmtId="0" fontId="44"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39" fillId="74" borderId="0" xfId="439" applyNumberFormat="1" applyFont="1" applyFill="1" applyAlignment="1" applyProtection="1">
      <alignment horizontal="center" vertical="center"/>
      <protection locked="0"/>
    </xf>
    <xf numFmtId="41" fontId="69" fillId="74" borderId="0" xfId="0" applyNumberFormat="1" applyFont="1" applyFill="1" applyAlignment="1" applyProtection="1">
      <alignment wrapText="1"/>
    </xf>
    <xf numFmtId="0" fontId="39" fillId="74" borderId="0" xfId="0" applyFont="1" applyFill="1" applyAlignment="1" applyProtection="1">
      <alignment horizontal="center" vertical="center"/>
      <protection locked="0"/>
    </xf>
    <xf numFmtId="0" fontId="69" fillId="74" borderId="0" xfId="0" applyFont="1" applyFill="1" applyAlignment="1" applyProtection="1"/>
    <xf numFmtId="0" fontId="39" fillId="74" borderId="0" xfId="0" applyFont="1" applyFill="1" applyAlignment="1" applyProtection="1">
      <alignment horizontal="center" vertical="center" wrapText="1"/>
      <protection locked="0"/>
    </xf>
    <xf numFmtId="0" fontId="69" fillId="74" borderId="0" xfId="0" applyFont="1" applyFill="1" applyAlignment="1" applyProtection="1">
      <alignment horizontal="left" wrapText="1" indent="2"/>
    </xf>
    <xf numFmtId="0" fontId="39"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39"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vertical="center"/>
    </xf>
    <xf numFmtId="3" fontId="39" fillId="74" borderId="0" xfId="439" applyNumberFormat="1" applyFont="1" applyFill="1" applyAlignment="1" applyProtection="1">
      <alignment horizontal="center" vertical="center"/>
      <protection locked="0"/>
    </xf>
    <xf numFmtId="38" fontId="44"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39" fillId="74" borderId="0" xfId="0" applyNumberFormat="1" applyFont="1" applyFill="1" applyAlignment="1" applyProtection="1">
      <alignment wrapText="1"/>
    </xf>
    <xf numFmtId="164" fontId="39" fillId="74" borderId="0" xfId="439" applyNumberFormat="1" applyFont="1" applyFill="1" applyAlignment="1" applyProtection="1">
      <alignment horizontal="center" wrapText="1"/>
    </xf>
    <xf numFmtId="3" fontId="39" fillId="74" borderId="0" xfId="439" applyNumberFormat="1" applyFont="1" applyFill="1" applyAlignment="1" applyProtection="1">
      <alignment horizontal="center" vertical="center" wrapText="1"/>
    </xf>
    <xf numFmtId="41" fontId="68" fillId="74" borderId="0" xfId="0" applyNumberFormat="1" applyFont="1" applyFill="1" applyAlignment="1" applyProtection="1">
      <alignment wrapText="1"/>
    </xf>
    <xf numFmtId="3" fontId="39"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7" fontId="0" fillId="74" borderId="0" xfId="439" applyNumberFormat="1" applyFont="1" applyFill="1" applyAlignment="1" applyProtection="1">
      <alignment horizontal="center" vertical="center"/>
    </xf>
    <xf numFmtId="38" fontId="39" fillId="74" borderId="0" xfId="0" applyNumberFormat="1" applyFont="1" applyFill="1" applyAlignment="1" applyProtection="1">
      <alignment horizontal="left" vertical="center"/>
    </xf>
    <xf numFmtId="0" fontId="69"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39"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54" fillId="74" borderId="0" xfId="0" applyFont="1" applyFill="1" applyAlignment="1" applyProtection="1">
      <alignment horizontal="left" vertical="center"/>
    </xf>
    <xf numFmtId="0" fontId="80" fillId="74" borderId="0" xfId="0" applyFont="1" applyFill="1" applyAlignment="1" applyProtection="1">
      <alignment vertical="center"/>
    </xf>
    <xf numFmtId="0" fontId="155" fillId="74" borderId="0" xfId="0" applyFont="1" applyFill="1" applyAlignment="1" applyProtection="1">
      <alignment vertical="center"/>
      <protection locked="0"/>
    </xf>
    <xf numFmtId="0" fontId="57" fillId="74" borderId="0" xfId="0" applyFont="1" applyFill="1" applyAlignment="1">
      <alignment vertical="center" wrapText="1"/>
    </xf>
    <xf numFmtId="41" fontId="156" fillId="0" borderId="0" xfId="0" applyNumberFormat="1" applyFont="1" applyFill="1" applyAlignment="1" applyProtection="1">
      <alignment wrapText="1"/>
    </xf>
    <xf numFmtId="0" fontId="57" fillId="74"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0" fontId="0" fillId="0" borderId="0" xfId="0" applyAlignment="1">
      <alignment horizontal="left"/>
    </xf>
    <xf numFmtId="37" fontId="0" fillId="0" borderId="0" xfId="0" applyNumberFormat="1"/>
    <xf numFmtId="2" fontId="0" fillId="0" borderId="0" xfId="0" applyNumberFormat="1"/>
    <xf numFmtId="164" fontId="44" fillId="22" borderId="0" xfId="439" applyNumberFormat="1" applyFont="1" applyFill="1" applyAlignment="1" applyProtection="1">
      <alignment horizontal="center" vertical="center" wrapText="1"/>
    </xf>
    <xf numFmtId="173" fontId="44" fillId="22" borderId="0" xfId="439" applyNumberFormat="1" applyFont="1" applyFill="1" applyAlignment="1" applyProtection="1">
      <alignment horizontal="center" vertical="center" wrapText="1"/>
    </xf>
    <xf numFmtId="41" fontId="69" fillId="0" borderId="0" xfId="439" applyNumberFormat="1" applyFont="1" applyFill="1" applyAlignment="1" applyProtection="1">
      <alignment horizontal="center" vertical="center" wrapText="1"/>
      <protection locked="0"/>
    </xf>
    <xf numFmtId="0" fontId="161" fillId="77" borderId="57" xfId="0" applyFont="1" applyFill="1" applyBorder="1" applyAlignment="1">
      <alignment horizontal="center" vertical="center" wrapText="1"/>
    </xf>
    <xf numFmtId="0" fontId="158" fillId="0" borderId="0" xfId="0" applyFont="1"/>
    <xf numFmtId="0" fontId="162" fillId="73" borderId="0" xfId="0" applyFont="1" applyFill="1" applyAlignment="1">
      <alignment horizontal="justify" vertical="center"/>
    </xf>
    <xf numFmtId="0" fontId="162" fillId="73" borderId="0" xfId="0" applyFont="1" applyFill="1" applyAlignment="1">
      <alignment vertical="center"/>
    </xf>
    <xf numFmtId="0" fontId="0" fillId="0" borderId="0" xfId="0" applyAlignment="1">
      <alignment vertical="center"/>
    </xf>
    <xf numFmtId="0" fontId="162" fillId="73" borderId="0" xfId="0" applyFont="1" applyFill="1" applyAlignment="1">
      <alignment vertical="center" wrapText="1"/>
    </xf>
    <xf numFmtId="0" fontId="166" fillId="73" borderId="0" xfId="611" applyFont="1" applyFill="1" applyAlignment="1">
      <alignment vertical="center"/>
    </xf>
    <xf numFmtId="0" fontId="167" fillId="73" borderId="0" xfId="0" applyFont="1" applyFill="1" applyAlignment="1">
      <alignment vertical="center"/>
    </xf>
    <xf numFmtId="0" fontId="168" fillId="73" borderId="0" xfId="611" applyFont="1" applyFill="1" applyAlignment="1" applyProtection="1">
      <alignment vertical="center"/>
      <protection locked="0"/>
    </xf>
    <xf numFmtId="0" fontId="167" fillId="73" borderId="0" xfId="0" applyFont="1" applyFill="1"/>
    <xf numFmtId="0" fontId="168" fillId="73" borderId="0" xfId="611" applyFont="1" applyFill="1" applyProtection="1">
      <protection locked="0"/>
    </xf>
    <xf numFmtId="0" fontId="116" fillId="73" borderId="0" xfId="30098" quotePrefix="1" applyFont="1" applyFill="1" applyAlignment="1">
      <alignment horizontal="left" vertical="center" wrapText="1" indent="1"/>
    </xf>
    <xf numFmtId="0" fontId="171" fillId="73" borderId="0" xfId="30098" applyFont="1" applyFill="1" applyAlignment="1">
      <alignment vertical="center" wrapText="1"/>
    </xf>
    <xf numFmtId="0" fontId="35" fillId="0" borderId="0" xfId="611"/>
    <xf numFmtId="0" fontId="162" fillId="73" borderId="0" xfId="30098" applyFont="1" applyFill="1" applyAlignment="1">
      <alignment vertical="center" wrapText="1"/>
    </xf>
    <xf numFmtId="0" fontId="168" fillId="73" borderId="0" xfId="611" applyFont="1" applyFill="1" applyAlignment="1">
      <alignment vertical="center"/>
    </xf>
    <xf numFmtId="38" fontId="0" fillId="0" borderId="0" xfId="0" applyNumberFormat="1" applyFont="1" applyFill="1" applyProtection="1"/>
    <xf numFmtId="0" fontId="0" fillId="81" borderId="25" xfId="0" applyNumberFormat="1" applyFont="1" applyFill="1" applyBorder="1" applyAlignment="1" applyProtection="1">
      <alignment horizontal="left" vertical="center" wrapText="1"/>
    </xf>
    <xf numFmtId="3" fontId="0" fillId="34" borderId="0" xfId="0" applyNumberFormat="1" applyFont="1" applyFill="1" applyProtection="1"/>
    <xf numFmtId="1" fontId="0" fillId="0" borderId="0" xfId="0" applyNumberFormat="1" applyFont="1" applyFill="1" applyAlignment="1" applyProtection="1">
      <alignment horizontal="center" vertical="center"/>
    </xf>
    <xf numFmtId="0" fontId="0" fillId="20" borderId="0" xfId="0" applyFill="1"/>
    <xf numFmtId="0" fontId="0" fillId="29" borderId="0" xfId="0" applyFill="1" applyAlignment="1">
      <alignment horizontal="center"/>
    </xf>
    <xf numFmtId="0" fontId="0" fillId="29" borderId="0" xfId="0" applyFill="1"/>
    <xf numFmtId="0" fontId="0" fillId="20" borderId="0" xfId="0" applyFill="1" applyAlignment="1">
      <alignment horizontal="center"/>
    </xf>
    <xf numFmtId="0" fontId="0" fillId="32" borderId="0" xfId="0" applyFill="1" applyAlignment="1">
      <alignment horizontal="center"/>
    </xf>
    <xf numFmtId="0" fontId="0" fillId="32" borderId="0" xfId="0" applyFill="1"/>
    <xf numFmtId="0" fontId="0" fillId="0" borderId="0" xfId="0" applyFill="1" applyAlignment="1">
      <alignment horizontal="center"/>
    </xf>
    <xf numFmtId="0" fontId="0" fillId="0" borderId="0" xfId="0" applyFill="1"/>
    <xf numFmtId="0" fontId="0" fillId="82" borderId="0" xfId="0" applyFill="1" applyAlignment="1">
      <alignment horizontal="center"/>
    </xf>
    <xf numFmtId="0" fontId="0" fillId="82" borderId="0" xfId="0" applyFill="1"/>
    <xf numFmtId="0" fontId="0" fillId="82" borderId="0" xfId="0" applyNumberFormat="1" applyFont="1" applyFill="1" applyAlignment="1" applyProtection="1">
      <alignment horizontal="center" vertical="center"/>
    </xf>
    <xf numFmtId="0" fontId="0" fillId="82" borderId="45" xfId="0" applyNumberFormat="1" applyFont="1" applyFill="1" applyBorder="1" applyAlignment="1" applyProtection="1">
      <alignment horizontal="center" vertical="center" wrapText="1"/>
    </xf>
    <xf numFmtId="0" fontId="0" fillId="26" borderId="0" xfId="0" applyFill="1" applyAlignment="1">
      <alignment horizontal="center"/>
    </xf>
    <xf numFmtId="0" fontId="0" fillId="26" borderId="0" xfId="0" applyFill="1"/>
    <xf numFmtId="0" fontId="0" fillId="36" borderId="0" xfId="0" applyFill="1" applyAlignment="1">
      <alignment horizontal="center"/>
    </xf>
    <xf numFmtId="0" fontId="0" fillId="36" borderId="0" xfId="0" applyFill="1"/>
    <xf numFmtId="38" fontId="44" fillId="22" borderId="45" xfId="439" applyNumberFormat="1" applyFont="1" applyFill="1" applyBorder="1" applyAlignment="1" applyProtection="1">
      <alignment horizontal="center" vertical="center" wrapText="1"/>
    </xf>
    <xf numFmtId="4" fontId="0" fillId="0" borderId="0" xfId="0" applyNumberFormat="1"/>
    <xf numFmtId="182" fontId="0" fillId="0" borderId="0" xfId="439" applyNumberFormat="1" applyFont="1" applyProtection="1"/>
    <xf numFmtId="43" fontId="0" fillId="0" borderId="0" xfId="0" applyNumberFormat="1" applyFont="1" applyProtection="1"/>
    <xf numFmtId="4" fontId="0" fillId="0" borderId="0" xfId="0" applyNumberFormat="1" applyFont="1" applyProtection="1"/>
    <xf numFmtId="183" fontId="41" fillId="31" borderId="66" xfId="0" applyNumberFormat="1" applyFont="1" applyFill="1" applyBorder="1" applyAlignment="1">
      <alignment wrapText="1"/>
    </xf>
    <xf numFmtId="183" fontId="56" fillId="0" borderId="28" xfId="439" applyNumberFormat="1" applyFont="1" applyFill="1" applyBorder="1" applyAlignment="1" applyProtection="1">
      <alignment horizontal="center" vertical="center" wrapText="1"/>
    </xf>
    <xf numFmtId="181" fontId="0" fillId="0" borderId="0" xfId="0" applyNumberFormat="1"/>
    <xf numFmtId="0" fontId="44" fillId="0" borderId="0" xfId="26000" applyFont="1" applyAlignment="1">
      <alignment horizontal="center"/>
    </xf>
    <xf numFmtId="0" fontId="44" fillId="0" borderId="0" xfId="26000" applyFont="1"/>
    <xf numFmtId="0" fontId="33" fillId="0" borderId="0" xfId="0" applyFont="1"/>
    <xf numFmtId="0" fontId="57" fillId="80" borderId="0" xfId="26000" applyFont="1" applyFill="1"/>
    <xf numFmtId="0" fontId="44" fillId="80" borderId="0" xfId="26000" applyFont="1" applyFill="1"/>
    <xf numFmtId="0" fontId="57" fillId="0" borderId="0" xfId="26000" applyFont="1"/>
    <xf numFmtId="0" fontId="129" fillId="0" borderId="57" xfId="26000" applyFont="1" applyBorder="1"/>
    <xf numFmtId="9" fontId="57" fillId="0" borderId="0" xfId="26000" applyNumberFormat="1" applyFont="1" applyAlignment="1">
      <alignment horizontal="center"/>
    </xf>
    <xf numFmtId="38" fontId="44" fillId="79" borderId="0" xfId="26000" applyNumberFormat="1" applyFont="1" applyFill="1"/>
    <xf numFmtId="38" fontId="44" fillId="0" borderId="0" xfId="26000" applyNumberFormat="1" applyFont="1"/>
    <xf numFmtId="0" fontId="44" fillId="0" borderId="0" xfId="26000" applyFont="1" applyAlignment="1">
      <alignment wrapText="1"/>
    </xf>
    <xf numFmtId="0" fontId="57" fillId="0" borderId="0" xfId="26000" applyFont="1" applyAlignment="1">
      <alignment wrapText="1"/>
    </xf>
    <xf numFmtId="0" fontId="130" fillId="0" borderId="0" xfId="26000" applyFont="1" applyAlignment="1">
      <alignment wrapText="1"/>
    </xf>
    <xf numFmtId="164" fontId="44" fillId="0" borderId="0" xfId="26000" applyNumberFormat="1" applyFont="1"/>
    <xf numFmtId="0" fontId="57" fillId="0" borderId="0" xfId="26000" applyFont="1" applyAlignment="1">
      <alignment horizontal="center"/>
    </xf>
    <xf numFmtId="0" fontId="130" fillId="0" borderId="0" xfId="26000" applyFont="1"/>
    <xf numFmtId="0" fontId="44" fillId="0" borderId="0" xfId="26000" applyFont="1" applyAlignment="1">
      <alignment vertical="top"/>
    </xf>
    <xf numFmtId="0" fontId="130" fillId="0" borderId="0" xfId="26000" applyFont="1" applyAlignment="1">
      <alignment vertical="top" wrapText="1"/>
    </xf>
    <xf numFmtId="37" fontId="44" fillId="0" borderId="57" xfId="29549" applyNumberFormat="1" applyFont="1" applyBorder="1" applyProtection="1"/>
    <xf numFmtId="37" fontId="44" fillId="0" borderId="57" xfId="29549" applyNumberFormat="1" applyFont="1" applyFill="1" applyBorder="1" applyProtection="1"/>
    <xf numFmtId="37" fontId="44" fillId="0" borderId="0" xfId="26000" applyNumberFormat="1" applyFont="1"/>
    <xf numFmtId="37" fontId="57" fillId="0" borderId="57" xfId="26000" applyNumberFormat="1" applyFont="1" applyBorder="1"/>
    <xf numFmtId="37" fontId="57" fillId="0" borderId="68" xfId="29549" applyNumberFormat="1" applyFont="1" applyBorder="1" applyProtection="1"/>
    <xf numFmtId="37" fontId="57" fillId="0" borderId="67" xfId="29549" applyNumberFormat="1" applyFont="1" applyBorder="1" applyProtection="1"/>
    <xf numFmtId="0" fontId="39" fillId="0" borderId="0" xfId="682" applyFont="1" applyAlignment="1">
      <alignment wrapText="1"/>
    </xf>
    <xf numFmtId="0" fontId="131" fillId="0" borderId="0" xfId="682" applyFont="1"/>
    <xf numFmtId="0" fontId="39" fillId="0" borderId="0" xfId="682" applyFont="1" applyAlignment="1">
      <alignment horizontal="left"/>
    </xf>
    <xf numFmtId="0" fontId="33" fillId="0" borderId="0" xfId="682" applyFont="1"/>
    <xf numFmtId="42" fontId="39" fillId="0" borderId="0" xfId="546" applyNumberFormat="1" applyFont="1" applyFill="1" applyBorder="1"/>
    <xf numFmtId="0" fontId="136" fillId="0" borderId="0" xfId="682" applyFont="1" applyAlignment="1">
      <alignment horizontal="left" vertical="center" wrapText="1"/>
    </xf>
    <xf numFmtId="10" fontId="39" fillId="0" borderId="19" xfId="682" applyNumberFormat="1" applyFont="1" applyBorder="1" applyAlignment="1">
      <alignment horizontal="right" vertical="center"/>
    </xf>
    <xf numFmtId="0" fontId="44" fillId="0" borderId="0" xfId="0" applyFont="1"/>
    <xf numFmtId="0" fontId="44" fillId="0" borderId="0" xfId="0" applyFont="1" applyAlignment="1">
      <alignment horizontal="center"/>
    </xf>
    <xf numFmtId="0" fontId="44" fillId="34" borderId="0" xfId="0" applyFont="1" applyFill="1"/>
    <xf numFmtId="0" fontId="44" fillId="29" borderId="0" xfId="0" applyFont="1" applyFill="1"/>
    <xf numFmtId="0" fontId="44" fillId="29" borderId="0" xfId="0" applyFont="1" applyFill="1" applyAlignment="1">
      <alignment wrapText="1"/>
    </xf>
    <xf numFmtId="0" fontId="44" fillId="0" borderId="77" xfId="0" applyFont="1" applyBorder="1"/>
    <xf numFmtId="0" fontId="44" fillId="0" borderId="100" xfId="0" applyFont="1" applyBorder="1"/>
    <xf numFmtId="0" fontId="44" fillId="0" borderId="12" xfId="0" applyFont="1" applyBorder="1"/>
    <xf numFmtId="0" fontId="44" fillId="0" borderId="0" xfId="0" quotePrefix="1" applyFont="1"/>
    <xf numFmtId="0" fontId="44" fillId="0" borderId="0" xfId="0" applyFont="1" applyFill="1"/>
    <xf numFmtId="0" fontId="0" fillId="0" borderId="0" xfId="0" applyFill="1" applyAlignment="1">
      <alignment horizontal="left" vertical="center"/>
    </xf>
    <xf numFmtId="0" fontId="0" fillId="0" borderId="0" xfId="0" applyFill="1" applyAlignment="1">
      <alignment wrapText="1"/>
    </xf>
    <xf numFmtId="0" fontId="39" fillId="0" borderId="13" xfId="0" applyFont="1" applyFill="1" applyBorder="1" applyAlignment="1">
      <alignment horizontal="left" vertical="center"/>
    </xf>
    <xf numFmtId="0" fontId="0" fillId="0" borderId="16" xfId="0" applyFill="1" applyBorder="1"/>
    <xf numFmtId="0" fontId="0" fillId="34" borderId="10" xfId="0" applyFill="1" applyBorder="1" applyAlignment="1">
      <alignment vertical="center" wrapText="1"/>
    </xf>
    <xf numFmtId="0" fontId="0" fillId="34" borderId="0" xfId="0" applyFill="1" applyAlignment="1">
      <alignment vertical="center" wrapText="1"/>
    </xf>
    <xf numFmtId="0" fontId="0" fillId="0" borderId="1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14" fontId="0" fillId="36" borderId="0" xfId="0" applyNumberFormat="1" applyFont="1" applyFill="1" applyAlignment="1" applyProtection="1">
      <alignment horizontal="center"/>
    </xf>
    <xf numFmtId="37" fontId="44" fillId="0" borderId="57" xfId="29549" applyNumberFormat="1" applyFont="1" applyFill="1" applyBorder="1" applyAlignment="1" applyProtection="1">
      <alignment horizontal="center"/>
    </xf>
    <xf numFmtId="38" fontId="44" fillId="0" borderId="0" xfId="26000" applyNumberFormat="1" applyFont="1" applyAlignment="1"/>
    <xf numFmtId="0" fontId="33" fillId="0" borderId="0" xfId="29549" applyNumberFormat="1" applyFont="1" applyFill="1" applyBorder="1" applyProtection="1"/>
    <xf numFmtId="0" fontId="6" fillId="79" borderId="0" xfId="26000" applyFont="1" applyFill="1"/>
    <xf numFmtId="0" fontId="6" fillId="35" borderId="0" xfId="26000" applyFont="1" applyFill="1"/>
    <xf numFmtId="0" fontId="6" fillId="0" borderId="0" xfId="26000" applyFont="1" applyFill="1"/>
    <xf numFmtId="37" fontId="44" fillId="35" borderId="57" xfId="29549" applyNumberFormat="1" applyFont="1" applyFill="1" applyBorder="1" applyAlignment="1" applyProtection="1">
      <alignment horizontal="center"/>
    </xf>
    <xf numFmtId="37" fontId="44" fillId="35" borderId="57" xfId="29549" applyNumberFormat="1" applyFont="1" applyFill="1" applyBorder="1" applyProtection="1"/>
    <xf numFmtId="0" fontId="44" fillId="0" borderId="0" xfId="26000" applyFont="1" applyFill="1"/>
    <xf numFmtId="0" fontId="44" fillId="0" borderId="45"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2" borderId="45" xfId="0" applyNumberFormat="1" applyFont="1" applyFill="1" applyBorder="1" applyAlignment="1" applyProtection="1">
      <alignment horizontal="center" vertical="center"/>
    </xf>
    <xf numFmtId="0" fontId="0" fillId="32" borderId="45" xfId="0" applyFont="1" applyFill="1" applyBorder="1" applyAlignment="1" applyProtection="1">
      <alignment vertical="center" wrapText="1"/>
    </xf>
    <xf numFmtId="37" fontId="0" fillId="32" borderId="45" xfId="439" applyNumberFormat="1" applyFont="1" applyFill="1" applyBorder="1" applyAlignment="1" applyProtection="1">
      <alignment vertical="center"/>
    </xf>
    <xf numFmtId="0" fontId="0" fillId="36" borderId="0" xfId="0" applyFont="1" applyFill="1" applyAlignment="1" applyProtection="1">
      <alignment horizontal="center" vertical="center"/>
    </xf>
    <xf numFmtId="41" fontId="69" fillId="31" borderId="81" xfId="439" applyNumberFormat="1" applyFont="1" applyFill="1" applyBorder="1" applyAlignment="1">
      <alignment vertical="center" wrapText="1"/>
    </xf>
    <xf numFmtId="41" fontId="69" fillId="31" borderId="0" xfId="439" applyNumberFormat="1" applyFont="1" applyFill="1" applyAlignment="1">
      <alignment vertical="center" wrapText="1"/>
    </xf>
    <xf numFmtId="41" fontId="69" fillId="31" borderId="93" xfId="439" applyNumberFormat="1" applyFont="1" applyFill="1" applyBorder="1" applyAlignment="1">
      <alignment vertical="center" wrapText="1"/>
    </xf>
    <xf numFmtId="41" fontId="69" fillId="31" borderId="82" xfId="439" applyNumberFormat="1" applyFont="1" applyFill="1" applyBorder="1" applyAlignment="1">
      <alignment vertical="center" wrapText="1"/>
    </xf>
    <xf numFmtId="14" fontId="56" fillId="36" borderId="23" xfId="439" applyNumberFormat="1" applyFont="1" applyFill="1" applyBorder="1" applyAlignment="1" applyProtection="1">
      <alignment horizontal="center" vertical="center" wrapText="1"/>
    </xf>
    <xf numFmtId="164" fontId="44" fillId="0" borderId="16" xfId="26000" applyNumberFormat="1" applyFont="1" applyBorder="1"/>
    <xf numFmtId="0" fontId="0" fillId="0" borderId="10" xfId="0" applyFill="1" applyBorder="1" applyAlignment="1">
      <alignment horizontal="center" vertical="center"/>
    </xf>
    <xf numFmtId="0" fontId="0" fillId="0" borderId="10" xfId="0" applyFill="1" applyBorder="1" applyAlignment="1">
      <alignment vertical="center" wrapText="1"/>
    </xf>
    <xf numFmtId="49" fontId="0" fillId="78" borderId="0" xfId="0" applyNumberFormat="1" applyFont="1" applyFill="1" applyBorder="1" applyAlignment="1">
      <alignment horizontal="center" vertical="center" wrapText="1"/>
    </xf>
    <xf numFmtId="49" fontId="39" fillId="29" borderId="0" xfId="439" applyNumberFormat="1" applyFont="1" applyFill="1" applyAlignment="1" applyProtection="1">
      <alignment horizontal="center" vertical="center" wrapText="1"/>
      <protection locked="0"/>
    </xf>
    <xf numFmtId="173" fontId="44" fillId="0" borderId="0" xfId="439" applyNumberFormat="1" applyFont="1" applyFill="1" applyAlignment="1" applyProtection="1">
      <alignment horizontal="center" vertical="center" wrapText="1"/>
    </xf>
    <xf numFmtId="0" fontId="0" fillId="0" borderId="76" xfId="0" applyFill="1" applyBorder="1" applyAlignment="1">
      <alignment vertical="center"/>
    </xf>
    <xf numFmtId="49" fontId="0" fillId="0" borderId="0" xfId="0" applyNumberFormat="1" applyAlignment="1">
      <alignment wrapText="1"/>
    </xf>
    <xf numFmtId="49" fontId="0" fillId="78" borderId="64" xfId="439" applyNumberFormat="1" applyFont="1" applyFill="1" applyBorder="1" applyAlignment="1" applyProtection="1">
      <alignment horizontal="center" vertical="center" wrapText="1"/>
    </xf>
    <xf numFmtId="0" fontId="0" fillId="22" borderId="102" xfId="0" applyFont="1" applyFill="1" applyBorder="1" applyAlignment="1" applyProtection="1">
      <alignment vertical="center"/>
    </xf>
    <xf numFmtId="39" fontId="56" fillId="0" borderId="103" xfId="439" applyNumberFormat="1" applyFont="1" applyFill="1" applyBorder="1" applyAlignment="1" applyProtection="1">
      <alignment horizontal="center" vertical="center" wrapText="1"/>
    </xf>
    <xf numFmtId="164" fontId="56" fillId="0" borderId="103" xfId="439" applyNumberFormat="1" applyFont="1" applyFill="1" applyBorder="1" applyAlignment="1" applyProtection="1">
      <alignment horizontal="center" vertical="center" wrapText="1"/>
    </xf>
    <xf numFmtId="3" fontId="56" fillId="0" borderId="101" xfId="439" applyNumberFormat="1" applyFont="1" applyFill="1" applyBorder="1" applyAlignment="1" applyProtection="1">
      <alignment horizontal="center" vertical="center" wrapText="1"/>
    </xf>
    <xf numFmtId="3" fontId="56" fillId="0" borderId="28" xfId="439" applyNumberFormat="1" applyFont="1" applyFill="1" applyBorder="1" applyAlignment="1" applyProtection="1">
      <alignment horizontal="center" vertical="center" wrapText="1"/>
    </xf>
    <xf numFmtId="0" fontId="182" fillId="73" borderId="0" xfId="30098" applyFont="1" applyFill="1" applyAlignment="1">
      <alignment vertical="center" wrapText="1"/>
    </xf>
    <xf numFmtId="173" fontId="44" fillId="35" borderId="0" xfId="26000" applyNumberFormat="1" applyFont="1" applyFill="1"/>
    <xf numFmtId="0" fontId="39" fillId="26" borderId="0" xfId="0" applyFont="1" applyFill="1" applyAlignment="1">
      <alignment horizontal="center" vertical="center"/>
    </xf>
    <xf numFmtId="185" fontId="52" fillId="0" borderId="0" xfId="682" applyNumberFormat="1" applyFont="1"/>
    <xf numFmtId="0" fontId="52" fillId="0" borderId="0" xfId="0" applyFont="1" applyAlignment="1">
      <alignment horizontal="center"/>
    </xf>
    <xf numFmtId="0" fontId="52" fillId="0" borderId="0" xfId="0" applyFont="1"/>
    <xf numFmtId="0" fontId="52" fillId="0" borderId="0" xfId="0" quotePrefix="1" applyFont="1"/>
    <xf numFmtId="0" fontId="0" fillId="0" borderId="0" xfId="0" quotePrefix="1"/>
    <xf numFmtId="164" fontId="0" fillId="0" borderId="0" xfId="0" applyNumberFormat="1"/>
    <xf numFmtId="0" fontId="136" fillId="27" borderId="0" xfId="682" applyFont="1" applyFill="1" applyAlignment="1">
      <alignment vertical="center" wrapText="1"/>
    </xf>
    <xf numFmtId="0" fontId="0" fillId="0" borderId="0" xfId="0" quotePrefix="1" applyAlignment="1">
      <alignment horizontal="center"/>
    </xf>
    <xf numFmtId="185" fontId="49" fillId="0" borderId="0" xfId="682" applyNumberFormat="1" applyFont="1"/>
    <xf numFmtId="0" fontId="39" fillId="26" borderId="17" xfId="0" applyFont="1" applyFill="1" applyBorder="1" applyAlignment="1">
      <alignment horizontal="center" vertical="center"/>
    </xf>
    <xf numFmtId="3" fontId="52" fillId="0" borderId="0" xfId="0" applyNumberFormat="1" applyFont="1"/>
    <xf numFmtId="185" fontId="52" fillId="0" borderId="0" xfId="682" applyNumberFormat="1" applyFont="1" applyAlignment="1">
      <alignment horizontal="left"/>
    </xf>
    <xf numFmtId="185" fontId="39" fillId="0" borderId="0" xfId="682" applyNumberFormat="1" applyFont="1" applyAlignment="1">
      <alignment horizontal="left"/>
    </xf>
    <xf numFmtId="42" fontId="0" fillId="0" borderId="0" xfId="0" applyNumberFormat="1"/>
    <xf numFmtId="185" fontId="49" fillId="0" borderId="0" xfId="682" applyNumberFormat="1" applyFont="1" applyAlignment="1">
      <alignment horizontal="left"/>
    </xf>
    <xf numFmtId="10" fontId="39" fillId="0" borderId="0" xfId="682" applyNumberFormat="1" applyFont="1" applyAlignment="1">
      <alignment horizontal="right" vertical="center"/>
    </xf>
    <xf numFmtId="0" fontId="52" fillId="0" borderId="0" xfId="682" applyFont="1" applyAlignment="1">
      <alignment horizontal="left"/>
    </xf>
    <xf numFmtId="185" fontId="49" fillId="78" borderId="0" xfId="682" applyNumberFormat="1" applyFont="1" applyFill="1" applyAlignment="1">
      <alignment horizontal="left"/>
    </xf>
    <xf numFmtId="185" fontId="52" fillId="78" borderId="0" xfId="682" applyNumberFormat="1" applyFont="1" applyFill="1" applyAlignment="1">
      <alignment horizontal="left"/>
    </xf>
    <xf numFmtId="0" fontId="0" fillId="78" borderId="0" xfId="0" applyFill="1" applyAlignment="1">
      <alignment horizontal="center"/>
    </xf>
    <xf numFmtId="0" fontId="0" fillId="78" borderId="0" xfId="0" applyFill="1" applyAlignment="1">
      <alignment wrapText="1"/>
    </xf>
    <xf numFmtId="0" fontId="0" fillId="0" borderId="0" xfId="0" quotePrefix="1" applyAlignment="1">
      <alignment wrapText="1"/>
    </xf>
    <xf numFmtId="0" fontId="0" fillId="0" borderId="0" xfId="0" applyAlignment="1">
      <alignment horizontal="left" wrapText="1"/>
    </xf>
    <xf numFmtId="0" fontId="40" fillId="26" borderId="0" xfId="0" applyFont="1" applyFill="1"/>
    <xf numFmtId="0" fontId="49" fillId="26" borderId="17" xfId="682" applyFont="1" applyFill="1" applyBorder="1" applyAlignment="1">
      <alignment horizontal="center"/>
    </xf>
    <xf numFmtId="0" fontId="183" fillId="0" borderId="0" xfId="682" applyFont="1" applyAlignment="1">
      <alignment vertical="center"/>
    </xf>
    <xf numFmtId="0" fontId="0" fillId="78" borderId="0" xfId="0" applyNumberFormat="1" applyFont="1" applyFill="1" applyBorder="1" applyAlignment="1" applyProtection="1">
      <alignment horizontal="left" vertical="center" wrapText="1"/>
    </xf>
    <xf numFmtId="42" fontId="134" fillId="26" borderId="0" xfId="546" applyNumberFormat="1" applyFont="1" applyFill="1"/>
    <xf numFmtId="41" fontId="134" fillId="26" borderId="0" xfId="546" applyNumberFormat="1" applyFont="1" applyFill="1"/>
    <xf numFmtId="41" fontId="134" fillId="26" borderId="0" xfId="682" applyNumberFormat="1" applyFont="1" applyFill="1"/>
    <xf numFmtId="41" fontId="52" fillId="26" borderId="0" xfId="682" applyNumberFormat="1" applyFont="1" applyFill="1"/>
    <xf numFmtId="41" fontId="52" fillId="26" borderId="17" xfId="449" applyNumberFormat="1" applyFont="1" applyFill="1" applyBorder="1"/>
    <xf numFmtId="42" fontId="52" fillId="26" borderId="0" xfId="31723" applyNumberFormat="1" applyFont="1" applyFill="1"/>
    <xf numFmtId="41" fontId="134" fillId="26" borderId="0" xfId="0" applyNumberFormat="1" applyFont="1" applyFill="1"/>
    <xf numFmtId="0" fontId="40" fillId="34" borderId="0" xfId="682" applyFont="1" applyFill="1" applyAlignment="1"/>
    <xf numFmtId="42" fontId="39" fillId="34" borderId="18" xfId="546" applyNumberFormat="1" applyFont="1" applyFill="1" applyBorder="1"/>
    <xf numFmtId="42" fontId="49" fillId="34" borderId="19" xfId="546" applyNumberFormat="1" applyFont="1" applyFill="1" applyBorder="1"/>
    <xf numFmtId="0" fontId="0" fillId="26" borderId="17" xfId="0" applyFill="1" applyBorder="1" applyAlignment="1">
      <alignment horizontal="center" wrapText="1"/>
    </xf>
    <xf numFmtId="0" fontId="0" fillId="26" borderId="17" xfId="0" applyFill="1" applyBorder="1" applyAlignment="1">
      <alignment wrapText="1"/>
    </xf>
    <xf numFmtId="169" fontId="39" fillId="29" borderId="0" xfId="439" applyNumberFormat="1" applyFont="1" applyFill="1" applyAlignment="1" applyProtection="1">
      <alignment horizontal="center" vertical="center"/>
      <protection locked="0"/>
    </xf>
    <xf numFmtId="0" fontId="39" fillId="74" borderId="0" xfId="0" applyFont="1" applyFill="1" applyAlignment="1" applyProtection="1">
      <alignment horizontal="center" vertical="center"/>
    </xf>
    <xf numFmtId="0" fontId="0" fillId="0" borderId="0" xfId="0" applyNumberFormat="1" applyFont="1" applyFill="1" applyAlignment="1" applyProtection="1">
      <alignment horizontal="center" vertical="center" wrapText="1"/>
    </xf>
    <xf numFmtId="0" fontId="57" fillId="0" borderId="0" xfId="0" applyFont="1" applyFill="1" applyAlignment="1" applyProtection="1">
      <alignment horizontal="center" vertical="center" wrapText="1"/>
    </xf>
    <xf numFmtId="0" fontId="0" fillId="0" borderId="0" xfId="0" applyFont="1" applyFill="1" applyAlignment="1">
      <alignment horizontal="center" vertical="center"/>
    </xf>
    <xf numFmtId="0" fontId="0" fillId="0" borderId="22" xfId="0" applyFont="1" applyFill="1" applyBorder="1" applyAlignment="1">
      <alignment horizontal="center" vertical="center"/>
    </xf>
    <xf numFmtId="164" fontId="0" fillId="0" borderId="0" xfId="439" applyNumberFormat="1" applyFont="1" applyFill="1" applyAlignment="1" applyProtection="1">
      <alignment horizontal="center" vertical="center"/>
    </xf>
    <xf numFmtId="0" fontId="0" fillId="28" borderId="0" xfId="0" applyFont="1" applyFill="1" applyAlignment="1" applyProtection="1">
      <alignment horizontal="center" vertical="center"/>
    </xf>
    <xf numFmtId="0" fontId="153" fillId="74" borderId="0" xfId="0" applyFont="1" applyFill="1" applyAlignment="1" applyProtection="1">
      <alignment horizontal="center" vertical="center"/>
    </xf>
    <xf numFmtId="0" fontId="68" fillId="0" borderId="10" xfId="0" applyFont="1" applyFill="1" applyBorder="1" applyAlignment="1">
      <alignment vertical="center" wrapText="1"/>
    </xf>
    <xf numFmtId="41" fontId="134" fillId="26" borderId="17" xfId="0" applyNumberFormat="1" applyFont="1" applyFill="1" applyBorder="1"/>
    <xf numFmtId="41" fontId="0" fillId="0" borderId="0" xfId="0" applyNumberFormat="1"/>
    <xf numFmtId="1" fontId="40" fillId="24" borderId="0" xfId="439" applyNumberFormat="1" applyFont="1" applyFill="1" applyBorder="1" applyAlignment="1" applyProtection="1">
      <alignment horizontal="center" wrapText="1"/>
    </xf>
    <xf numFmtId="0" fontId="41" fillId="0" borderId="10" xfId="0" applyFont="1" applyBorder="1" applyAlignment="1" applyProtection="1">
      <alignment horizontal="right" vertical="center" wrapText="1"/>
    </xf>
    <xf numFmtId="0" fontId="41" fillId="0" borderId="10" xfId="0" applyFont="1" applyBorder="1" applyAlignment="1" applyProtection="1">
      <alignment horizontal="right" wrapText="1"/>
    </xf>
    <xf numFmtId="4" fontId="0" fillId="0" borderId="10" xfId="0" applyNumberFormat="1" applyBorder="1"/>
    <xf numFmtId="174" fontId="0" fillId="75" borderId="29" xfId="439" applyNumberFormat="1" applyFont="1" applyFill="1" applyBorder="1" applyAlignment="1" applyProtection="1">
      <alignment vertical="center"/>
    </xf>
    <xf numFmtId="174" fontId="0" fillId="75" borderId="28" xfId="439" applyNumberFormat="1" applyFont="1" applyFill="1" applyBorder="1" applyAlignment="1" applyProtection="1">
      <alignment vertical="center"/>
    </xf>
    <xf numFmtId="39" fontId="0" fillId="75" borderId="29" xfId="439" applyNumberFormat="1" applyFont="1" applyFill="1" applyBorder="1" applyAlignment="1" applyProtection="1">
      <alignment vertical="center"/>
    </xf>
    <xf numFmtId="175" fontId="0" fillId="75" borderId="29" xfId="439" applyNumberFormat="1" applyFont="1" applyFill="1" applyBorder="1" applyAlignment="1" applyProtection="1">
      <alignment vertical="center"/>
    </xf>
    <xf numFmtId="39" fontId="0" fillId="75" borderId="28" xfId="439" applyNumberFormat="1" applyFont="1" applyFill="1" applyBorder="1" applyAlignment="1" applyProtection="1">
      <alignment vertical="center"/>
    </xf>
    <xf numFmtId="41" fontId="68" fillId="0" borderId="0" xfId="439" applyNumberFormat="1" applyFont="1" applyFill="1" applyAlignment="1" applyProtection="1">
      <alignment wrapText="1"/>
    </xf>
    <xf numFmtId="41" fontId="69" fillId="0" borderId="45" xfId="0" applyNumberFormat="1" applyFont="1" applyFill="1" applyBorder="1" applyAlignment="1" applyProtection="1">
      <alignment wrapText="1"/>
    </xf>
    <xf numFmtId="41" fontId="69" fillId="0" borderId="45" xfId="0" applyNumberFormat="1" applyFont="1" applyFill="1" applyBorder="1" applyAlignment="1">
      <alignment wrapText="1"/>
    </xf>
    <xf numFmtId="41" fontId="69" fillId="0" borderId="0" xfId="0" applyNumberFormat="1" applyFont="1" applyFill="1" applyAlignment="1">
      <alignment wrapText="1"/>
    </xf>
    <xf numFmtId="41" fontId="0" fillId="26" borderId="0" xfId="682" applyNumberFormat="1" applyFont="1" applyFill="1"/>
    <xf numFmtId="42" fontId="49" fillId="27" borderId="0" xfId="546" applyNumberFormat="1" applyFont="1" applyFill="1"/>
    <xf numFmtId="41" fontId="52" fillId="26" borderId="0" xfId="449" applyNumberFormat="1" applyFont="1" applyFill="1" applyBorder="1"/>
    <xf numFmtId="41" fontId="52" fillId="0" borderId="0" xfId="449" applyNumberFormat="1" applyFont="1"/>
    <xf numFmtId="42" fontId="49" fillId="27" borderId="18" xfId="546" applyNumberFormat="1" applyFont="1" applyFill="1" applyBorder="1"/>
    <xf numFmtId="42" fontId="52" fillId="26" borderId="19" xfId="546" applyNumberFormat="1" applyFont="1" applyFill="1" applyBorder="1"/>
    <xf numFmtId="42" fontId="49" fillId="0" borderId="20" xfId="546" applyNumberFormat="1" applyFont="1" applyBorder="1"/>
    <xf numFmtId="42" fontId="52" fillId="0" borderId="19" xfId="546" applyNumberFormat="1" applyFont="1" applyBorder="1"/>
    <xf numFmtId="0" fontId="61" fillId="74" borderId="0" xfId="0" applyFont="1" applyFill="1" applyAlignment="1" applyProtection="1">
      <alignment horizontal="left" vertical="center"/>
    </xf>
    <xf numFmtId="0" fontId="39" fillId="28" borderId="0" xfId="0" applyFont="1" applyFill="1" applyAlignment="1" applyProtection="1">
      <alignment horizontal="left" vertical="center"/>
    </xf>
    <xf numFmtId="0" fontId="153" fillId="74" borderId="0" xfId="0" applyFont="1" applyFill="1" applyAlignment="1" applyProtection="1">
      <alignment horizontal="left" vertical="center"/>
    </xf>
    <xf numFmtId="0" fontId="0" fillId="0" borderId="0" xfId="0" applyAlignment="1">
      <alignment vertical="center" wrapText="1"/>
    </xf>
    <xf numFmtId="0" fontId="0" fillId="0" borderId="45" xfId="0" applyBorder="1" applyAlignment="1">
      <alignment vertical="center" wrapText="1"/>
    </xf>
    <xf numFmtId="0" fontId="0" fillId="0" borderId="36" xfId="0" applyBorder="1" applyAlignment="1">
      <alignment horizontal="left" vertical="center" wrapText="1"/>
    </xf>
    <xf numFmtId="0" fontId="0" fillId="29" borderId="10" xfId="0" applyFill="1" applyBorder="1" applyAlignment="1" applyProtection="1">
      <alignment horizontal="center" vertical="center"/>
      <protection locked="0"/>
    </xf>
    <xf numFmtId="14" fontId="0" fillId="29" borderId="10" xfId="0" applyNumberFormat="1" applyFill="1" applyBorder="1" applyAlignment="1" applyProtection="1">
      <alignment horizontal="center" vertical="center"/>
      <protection locked="0"/>
    </xf>
    <xf numFmtId="0" fontId="0" fillId="0" borderId="69" xfId="0" applyBorder="1" applyAlignment="1">
      <alignment horizontal="center"/>
    </xf>
    <xf numFmtId="0" fontId="0" fillId="0" borderId="70" xfId="0" applyFill="1" applyBorder="1"/>
    <xf numFmtId="168" fontId="0" fillId="0" borderId="70" xfId="0" applyNumberFormat="1" applyFill="1" applyBorder="1" applyAlignment="1">
      <alignment wrapText="1"/>
    </xf>
    <xf numFmtId="0" fontId="0" fillId="0" borderId="71" xfId="0" applyBorder="1" applyAlignment="1">
      <alignment wrapText="1"/>
    </xf>
    <xf numFmtId="0" fontId="0" fillId="0" borderId="72"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73" xfId="0" applyBorder="1" applyAlignment="1">
      <alignment wrapText="1"/>
    </xf>
    <xf numFmtId="41" fontId="69" fillId="0" borderId="0" xfId="0" applyNumberFormat="1" applyFont="1" applyFill="1" applyAlignment="1" applyProtection="1">
      <alignment vertical="center" wrapText="1"/>
    </xf>
    <xf numFmtId="38" fontId="0" fillId="0" borderId="0" xfId="0" applyNumberFormat="1" applyFont="1" applyFill="1" applyAlignment="1" applyProtection="1">
      <alignment horizontal="center" vertical="center" wrapText="1"/>
      <protection locked="0"/>
    </xf>
    <xf numFmtId="41" fontId="69" fillId="0" borderId="0" xfId="0" applyNumberFormat="1" applyFont="1" applyFill="1" applyAlignment="1" applyProtection="1">
      <alignment horizontal="center" vertical="center" wrapText="1"/>
    </xf>
    <xf numFmtId="164" fontId="0" fillId="0" borderId="0" xfId="0" applyNumberFormat="1" applyFont="1" applyFill="1" applyAlignment="1" applyProtection="1">
      <alignment horizontal="center" vertical="center" wrapText="1"/>
      <protection locked="0"/>
    </xf>
    <xf numFmtId="0" fontId="39" fillId="0" borderId="37" xfId="0" applyFont="1" applyFill="1" applyBorder="1" applyAlignment="1">
      <alignment horizontal="left" vertical="center"/>
    </xf>
    <xf numFmtId="0" fontId="0" fillId="0" borderId="38" xfId="0" applyFill="1" applyBorder="1"/>
    <xf numFmtId="0" fontId="0" fillId="0" borderId="38" xfId="0" applyFill="1" applyBorder="1" applyAlignment="1">
      <alignment wrapText="1"/>
    </xf>
    <xf numFmtId="14" fontId="0" fillId="29" borderId="10" xfId="0" applyNumberFormat="1" applyFill="1" applyBorder="1" applyAlignment="1" applyProtection="1">
      <alignment horizontal="left" vertical="center" wrapText="1"/>
      <protection locked="0"/>
    </xf>
    <xf numFmtId="0" fontId="0" fillId="0" borderId="0" xfId="0" quotePrefix="1" applyFont="1" applyFill="1" applyProtection="1"/>
    <xf numFmtId="0" fontId="0" fillId="0" borderId="0" xfId="0" applyFont="1" applyFill="1" applyBorder="1" applyAlignment="1" applyProtection="1">
      <alignment wrapText="1"/>
      <protection locked="0"/>
    </xf>
    <xf numFmtId="37" fontId="0" fillId="0" borderId="0" xfId="0" applyNumberFormat="1" applyFont="1" applyFill="1" applyBorder="1" applyAlignment="1" applyProtection="1">
      <alignment wrapText="1"/>
      <protection locked="0"/>
    </xf>
    <xf numFmtId="38" fontId="68" fillId="0" borderId="0" xfId="0" applyNumberFormat="1" applyFont="1" applyFill="1" applyAlignment="1" applyProtection="1">
      <alignment vertical="center" wrapText="1"/>
      <protection locked="0"/>
    </xf>
    <xf numFmtId="0" fontId="0" fillId="0" borderId="10" xfId="0" applyFill="1" applyBorder="1" applyAlignment="1">
      <alignment vertical="center"/>
    </xf>
    <xf numFmtId="0" fontId="0" fillId="34" borderId="0" xfId="0" applyNumberFormat="1" applyFont="1" applyFill="1" applyBorder="1" applyAlignment="1" applyProtection="1">
      <alignment horizontal="left" vertical="center" wrapText="1"/>
    </xf>
    <xf numFmtId="0" fontId="0" fillId="34" borderId="24" xfId="0" applyNumberFormat="1" applyFont="1" applyFill="1" applyBorder="1" applyAlignment="1" applyProtection="1">
      <alignment horizontal="center" vertical="center" wrapText="1"/>
    </xf>
    <xf numFmtId="164" fontId="56" fillId="34" borderId="23" xfId="439" applyNumberFormat="1" applyFont="1" applyFill="1" applyBorder="1" applyAlignment="1" applyProtection="1">
      <alignment horizontal="center" vertical="center" wrapText="1"/>
    </xf>
    <xf numFmtId="39" fontId="56" fillId="34" borderId="28" xfId="439" applyNumberFormat="1" applyFont="1" applyFill="1" applyBorder="1" applyAlignment="1" applyProtection="1">
      <alignment horizontal="center" vertical="center" wrapText="1"/>
    </xf>
    <xf numFmtId="164" fontId="56" fillId="34" borderId="29" xfId="439" applyNumberFormat="1" applyFont="1" applyFill="1" applyBorder="1" applyAlignment="1" applyProtection="1">
      <alignment horizontal="center" vertical="center" wrapText="1"/>
    </xf>
    <xf numFmtId="0" fontId="39" fillId="34" borderId="25" xfId="0" applyNumberFormat="1" applyFont="1" applyFill="1" applyBorder="1" applyAlignment="1" applyProtection="1">
      <alignment horizontal="center" vertical="center" wrapText="1"/>
    </xf>
    <xf numFmtId="3" fontId="0" fillId="29" borderId="76" xfId="0" applyNumberFormat="1" applyFill="1" applyBorder="1" applyAlignment="1" applyProtection="1">
      <alignment horizontal="center" vertical="center"/>
      <protection locked="0"/>
    </xf>
    <xf numFmtId="3" fontId="0" fillId="34" borderId="24" xfId="0" applyNumberFormat="1" applyFont="1" applyFill="1" applyBorder="1" applyAlignment="1" applyProtection="1">
      <alignment horizontal="center" vertical="center" wrapText="1"/>
    </xf>
    <xf numFmtId="0" fontId="0" fillId="0" borderId="0" xfId="0" applyFill="1" applyAlignment="1">
      <alignment horizontal="center" vertical="center"/>
    </xf>
    <xf numFmtId="0" fontId="0" fillId="0" borderId="0" xfId="0" applyFill="1" applyAlignment="1">
      <alignment vertical="center" wrapText="1"/>
    </xf>
    <xf numFmtId="0" fontId="69" fillId="20" borderId="0" xfId="0" applyFont="1" applyFill="1" applyAlignment="1">
      <alignment vertical="center" wrapText="1"/>
    </xf>
    <xf numFmtId="0" fontId="0" fillId="36" borderId="0" xfId="0" applyNumberFormat="1" applyFont="1" applyFill="1" applyAlignment="1" applyProtection="1">
      <alignment horizontal="left" vertical="center" wrapText="1"/>
    </xf>
    <xf numFmtId="0" fontId="0" fillId="84" borderId="10" xfId="0" applyFill="1" applyBorder="1" applyAlignment="1">
      <alignment horizontal="center" vertical="center"/>
    </xf>
    <xf numFmtId="0" fontId="0" fillId="0" borderId="0" xfId="0" applyFill="1" applyAlignment="1">
      <alignment horizontal="center" vertical="center" wrapText="1"/>
    </xf>
    <xf numFmtId="0" fontId="0" fillId="0" borderId="0" xfId="0" applyFill="1" applyAlignment="1">
      <alignment horizontal="left" vertical="center" wrapText="1"/>
    </xf>
    <xf numFmtId="38" fontId="44" fillId="36" borderId="0" xfId="439" applyNumberFormat="1" applyFont="1" applyFill="1" applyAlignment="1" applyProtection="1">
      <alignment horizontal="center" vertical="center" wrapText="1"/>
    </xf>
    <xf numFmtId="0" fontId="0" fillId="0" borderId="0" xfId="0" applyNumberFormat="1" applyFont="1" applyFill="1" applyAlignment="1" applyProtection="1">
      <alignment vertical="center" wrapText="1"/>
    </xf>
    <xf numFmtId="0" fontId="57" fillId="34" borderId="25" xfId="0" applyNumberFormat="1" applyFont="1" applyFill="1" applyBorder="1" applyAlignment="1" applyProtection="1">
      <alignment horizontal="center" vertical="center"/>
    </xf>
    <xf numFmtId="4" fontId="0" fillId="0" borderId="0" xfId="0" applyNumberFormat="1" applyFill="1"/>
    <xf numFmtId="181" fontId="0" fillId="36" borderId="0" xfId="0" applyNumberFormat="1" applyFill="1"/>
    <xf numFmtId="1" fontId="0" fillId="36" borderId="0" xfId="0" applyNumberFormat="1" applyFill="1" applyAlignment="1">
      <alignment horizontal="center"/>
    </xf>
    <xf numFmtId="0" fontId="0" fillId="0" borderId="0" xfId="0" applyNumberFormat="1"/>
    <xf numFmtId="0" fontId="190" fillId="0" borderId="0" xfId="0" applyFont="1"/>
    <xf numFmtId="186" fontId="190" fillId="0" borderId="0" xfId="0" applyNumberFormat="1" applyFont="1"/>
    <xf numFmtId="0" fontId="190" fillId="0" borderId="0" xfId="0" applyFont="1" applyAlignment="1">
      <alignment horizontal="center"/>
    </xf>
    <xf numFmtId="186" fontId="190" fillId="0" borderId="0" xfId="0" applyNumberFormat="1" applyFont="1" applyAlignment="1">
      <alignment horizontal="center"/>
    </xf>
    <xf numFmtId="186" fontId="44" fillId="0" borderId="0" xfId="0" applyNumberFormat="1" applyFont="1"/>
    <xf numFmtId="3" fontId="44" fillId="0" borderId="0" xfId="439" applyNumberFormat="1" applyFont="1" applyFill="1" applyAlignment="1" applyProtection="1">
      <alignment horizontal="center" vertical="center" wrapText="1"/>
    </xf>
    <xf numFmtId="38" fontId="39" fillId="29" borderId="0" xfId="439" applyNumberFormat="1" applyFont="1" applyFill="1" applyAlignment="1" applyProtection="1">
      <alignment horizontal="center" vertical="center"/>
      <protection locked="0"/>
    </xf>
    <xf numFmtId="0" fontId="39" fillId="29" borderId="0" xfId="439" applyNumberFormat="1" applyFont="1" applyFill="1" applyAlignment="1" applyProtection="1">
      <alignment horizontal="center" vertical="center" wrapText="1"/>
      <protection locked="0"/>
    </xf>
    <xf numFmtId="187" fontId="39" fillId="29" borderId="0" xfId="439" applyNumberFormat="1" applyFont="1" applyFill="1" applyAlignment="1" applyProtection="1">
      <alignment horizontal="center" vertical="center"/>
      <protection locked="0"/>
    </xf>
    <xf numFmtId="188" fontId="0" fillId="0" borderId="0" xfId="0" applyNumberFormat="1" applyFont="1" applyFill="1" applyAlignment="1" applyProtection="1">
      <alignment vertical="center" wrapText="1"/>
    </xf>
    <xf numFmtId="189" fontId="39" fillId="29" borderId="0" xfId="439" applyNumberFormat="1" applyFont="1" applyFill="1" applyAlignment="1" applyProtection="1">
      <alignment horizontal="center" vertical="center"/>
      <protection locked="0"/>
    </xf>
    <xf numFmtId="49" fontId="0" fillId="29" borderId="0" xfId="0" applyNumberFormat="1" applyFont="1" applyFill="1" applyAlignment="1" applyProtection="1">
      <alignment horizontal="center" vertical="center"/>
      <protection locked="0"/>
    </xf>
    <xf numFmtId="14" fontId="0" fillId="29" borderId="0" xfId="439" applyNumberFormat="1" applyFont="1" applyFill="1" applyAlignment="1" applyProtection="1">
      <alignment horizontal="center" vertical="center" wrapText="1"/>
      <protection locked="0"/>
    </xf>
    <xf numFmtId="4" fontId="44" fillId="0" borderId="0" xfId="439" applyNumberFormat="1" applyFont="1" applyFill="1" applyAlignment="1" applyProtection="1">
      <alignment horizontal="center" vertical="center" wrapText="1"/>
    </xf>
    <xf numFmtId="4" fontId="39" fillId="29" borderId="0" xfId="439" applyNumberFormat="1" applyFont="1" applyFill="1" applyAlignment="1" applyProtection="1">
      <alignment horizontal="center" vertical="center"/>
      <protection locked="0"/>
    </xf>
    <xf numFmtId="38" fontId="57" fillId="29" borderId="0" xfId="439" applyNumberFormat="1" applyFont="1" applyFill="1" applyAlignment="1" applyProtection="1">
      <alignment horizontal="center" vertical="center" wrapText="1"/>
      <protection locked="0"/>
    </xf>
    <xf numFmtId="0" fontId="0" fillId="0" borderId="57" xfId="0" applyBorder="1" applyAlignment="1" applyProtection="1">
      <alignment horizontal="center" vertical="center" wrapText="1"/>
    </xf>
    <xf numFmtId="0" fontId="68" fillId="20" borderId="0" xfId="0" applyFont="1" applyFill="1" applyAlignment="1">
      <alignment vertical="center" wrapText="1"/>
    </xf>
    <xf numFmtId="0" fontId="0" fillId="0" borderId="57" xfId="0" applyBorder="1" applyAlignment="1" applyProtection="1">
      <alignment horizontal="left" vertical="center" wrapText="1"/>
      <protection locked="0"/>
    </xf>
    <xf numFmtId="0" fontId="0" fillId="0" borderId="57" xfId="0" applyFill="1" applyBorder="1" applyAlignment="1" applyProtection="1">
      <alignment horizontal="left" vertical="center" wrapText="1"/>
      <protection locked="0"/>
    </xf>
    <xf numFmtId="0" fontId="0" fillId="0" borderId="57" xfId="0" applyBorder="1" applyAlignment="1" applyProtection="1">
      <alignment horizontal="left" vertical="center"/>
      <protection locked="0"/>
    </xf>
    <xf numFmtId="0" fontId="0" fillId="0" borderId="13" xfId="0" applyBorder="1" applyProtection="1"/>
    <xf numFmtId="0" fontId="44" fillId="0" borderId="91" xfId="0" applyFont="1" applyBorder="1" applyProtection="1"/>
    <xf numFmtId="0" fontId="44" fillId="0" borderId="0" xfId="0" applyFont="1" applyProtection="1"/>
    <xf numFmtId="0" fontId="44" fillId="0" borderId="74" xfId="0" applyFont="1" applyBorder="1" applyProtection="1"/>
    <xf numFmtId="0" fontId="44" fillId="0" borderId="75" xfId="0" applyFont="1" applyBorder="1" applyProtection="1"/>
    <xf numFmtId="0" fontId="0" fillId="0" borderId="75" xfId="0" applyBorder="1" applyProtection="1"/>
    <xf numFmtId="0" fontId="0" fillId="0" borderId="40" xfId="0" applyBorder="1" applyProtection="1"/>
    <xf numFmtId="0" fontId="175" fillId="0" borderId="0" xfId="0" applyFont="1" applyAlignment="1" applyProtection="1">
      <alignment vertical="center" wrapText="1"/>
    </xf>
    <xf numFmtId="0" fontId="0" fillId="0" borderId="67" xfId="0" applyBorder="1" applyProtection="1"/>
    <xf numFmtId="0" fontId="39" fillId="78" borderId="88" xfId="0" applyFont="1" applyFill="1" applyBorder="1" applyAlignment="1" applyProtection="1">
      <alignment horizontal="left"/>
    </xf>
    <xf numFmtId="0" fontId="0" fillId="78" borderId="89" xfId="0" applyFill="1" applyBorder="1" applyProtection="1"/>
    <xf numFmtId="0" fontId="0" fillId="78" borderId="94" xfId="0" applyFill="1" applyBorder="1" applyProtection="1"/>
    <xf numFmtId="0" fontId="0" fillId="78" borderId="11" xfId="0" applyFill="1" applyBorder="1" applyAlignment="1" applyProtection="1">
      <alignment horizontal="center"/>
    </xf>
    <xf numFmtId="0" fontId="0" fillId="0" borderId="87" xfId="0" applyBorder="1" applyProtection="1"/>
    <xf numFmtId="0" fontId="160" fillId="0" borderId="68" xfId="0" applyFont="1" applyBorder="1" applyAlignment="1" applyProtection="1">
      <alignment horizontal="center" vertical="center" wrapText="1"/>
    </xf>
    <xf numFmtId="0" fontId="44" fillId="0" borderId="85" xfId="0" applyFont="1" applyBorder="1" applyAlignment="1" applyProtection="1">
      <alignment wrapText="1"/>
    </xf>
    <xf numFmtId="1" fontId="44" fillId="0" borderId="0" xfId="0" applyNumberFormat="1" applyFont="1" applyProtection="1"/>
    <xf numFmtId="0" fontId="0" fillId="0" borderId="68" xfId="0" applyBorder="1" applyProtection="1"/>
    <xf numFmtId="0" fontId="160" fillId="0" borderId="13" xfId="0" applyFont="1" applyBorder="1" applyAlignment="1" applyProtection="1">
      <alignment horizontal="center" vertical="center" wrapText="1"/>
    </xf>
    <xf numFmtId="0" fontId="44" fillId="0" borderId="83" xfId="0" applyFont="1" applyBorder="1" applyProtection="1"/>
    <xf numFmtId="0" fontId="44" fillId="0" borderId="0" xfId="0" applyFont="1" applyAlignment="1" applyProtection="1">
      <alignment horizontal="center"/>
    </xf>
    <xf numFmtId="0" fontId="39" fillId="0" borderId="68" xfId="0" quotePrefix="1" applyFont="1" applyBorder="1" applyAlignment="1" applyProtection="1">
      <alignment horizontal="center" vertical="center"/>
    </xf>
    <xf numFmtId="0" fontId="39" fillId="0" borderId="57" xfId="0" quotePrefix="1" applyFont="1" applyBorder="1" applyAlignment="1" applyProtection="1">
      <alignment horizontal="center" vertical="center"/>
    </xf>
    <xf numFmtId="0" fontId="0" fillId="78" borderId="67" xfId="0" applyFill="1" applyBorder="1" applyAlignment="1" applyProtection="1">
      <alignment horizontal="center" vertical="center" wrapText="1"/>
    </xf>
    <xf numFmtId="37" fontId="44" fillId="36" borderId="0" xfId="0" applyNumberFormat="1" applyFont="1" applyFill="1" applyProtection="1"/>
    <xf numFmtId="37" fontId="44" fillId="0" borderId="0" xfId="0" applyNumberFormat="1" applyFont="1" applyProtection="1"/>
    <xf numFmtId="0" fontId="39" fillId="0" borderId="57" xfId="0" applyFont="1" applyBorder="1" applyAlignment="1" applyProtection="1">
      <alignment horizontal="center"/>
    </xf>
    <xf numFmtId="0" fontId="49" fillId="78" borderId="57" xfId="0" applyFont="1" applyFill="1" applyBorder="1" applyAlignment="1" applyProtection="1">
      <alignment horizontal="center" wrapText="1"/>
    </xf>
    <xf numFmtId="0" fontId="37" fillId="78" borderId="68" xfId="0" applyFont="1" applyFill="1" applyBorder="1" applyAlignment="1" applyProtection="1">
      <alignment vertical="center" wrapText="1"/>
    </xf>
    <xf numFmtId="0" fontId="0" fillId="78" borderId="68" xfId="0" applyFill="1" applyBorder="1" applyAlignment="1" applyProtection="1">
      <alignment horizontal="left" vertical="center" wrapText="1"/>
    </xf>
    <xf numFmtId="0" fontId="44" fillId="0" borderId="0" xfId="0" applyFont="1" applyAlignment="1" applyProtection="1">
      <alignment horizontal="center" wrapText="1"/>
    </xf>
    <xf numFmtId="9" fontId="44" fillId="0" borderId="0" xfId="4688" applyFont="1" applyFill="1" applyBorder="1" applyProtection="1"/>
    <xf numFmtId="10" fontId="44" fillId="0" borderId="74" xfId="0" applyNumberFormat="1" applyFont="1" applyBorder="1" applyProtection="1"/>
    <xf numFmtId="0" fontId="37" fillId="78" borderId="57" xfId="0" applyFont="1" applyFill="1" applyBorder="1" applyAlignment="1" applyProtection="1">
      <alignment horizontal="justify" vertical="center" wrapText="1"/>
    </xf>
    <xf numFmtId="0" fontId="45" fillId="78" borderId="57" xfId="0" quotePrefix="1" applyFont="1" applyFill="1" applyBorder="1" applyAlignment="1" applyProtection="1">
      <alignment horizontal="center" vertical="center" wrapText="1"/>
    </xf>
    <xf numFmtId="10" fontId="0" fillId="0" borderId="0" xfId="4688" applyNumberFormat="1" applyFont="1" applyProtection="1"/>
    <xf numFmtId="10" fontId="0" fillId="24" borderId="0" xfId="4688" applyNumberFormat="1" applyFont="1" applyFill="1" applyProtection="1"/>
    <xf numFmtId="10" fontId="44" fillId="0" borderId="0" xfId="4688" applyNumberFormat="1" applyFont="1" applyProtection="1"/>
    <xf numFmtId="39" fontId="44" fillId="36" borderId="0" xfId="4688" applyNumberFormat="1" applyFont="1" applyFill="1" applyBorder="1" applyProtection="1"/>
    <xf numFmtId="0" fontId="37" fillId="78" borderId="11" xfId="0" applyFont="1" applyFill="1" applyBorder="1" applyAlignment="1" applyProtection="1">
      <alignment horizontal="justify" vertical="center" wrapText="1"/>
    </xf>
    <xf numFmtId="0" fontId="45" fillId="78" borderId="57" xfId="0" quotePrefix="1" applyFont="1" applyFill="1" applyBorder="1" applyAlignment="1" applyProtection="1">
      <alignment horizontal="left" vertical="center" wrapText="1"/>
    </xf>
    <xf numFmtId="0" fontId="45" fillId="78" borderId="57" xfId="0" applyFont="1" applyFill="1" applyBorder="1" applyAlignment="1" applyProtection="1">
      <alignment horizontal="center" vertical="center" wrapText="1"/>
    </xf>
    <xf numFmtId="6" fontId="0" fillId="0" borderId="57" xfId="0" applyNumberFormat="1" applyBorder="1" applyAlignment="1" applyProtection="1">
      <alignment horizontal="center" vertical="center" wrapText="1"/>
    </xf>
    <xf numFmtId="0" fontId="39" fillId="0" borderId="57" xfId="0" quotePrefix="1" applyFont="1" applyBorder="1" applyAlignment="1" applyProtection="1">
      <alignment horizontal="center"/>
    </xf>
    <xf numFmtId="0" fontId="173" fillId="78" borderId="11" xfId="0" applyFont="1" applyFill="1" applyBorder="1" applyAlignment="1" applyProtection="1">
      <alignment horizontal="justify" vertical="center" wrapText="1"/>
    </xf>
    <xf numFmtId="0" fontId="57" fillId="78" borderId="57" xfId="0" applyFont="1" applyFill="1" applyBorder="1" applyAlignment="1" applyProtection="1">
      <alignment horizontal="center" vertical="center" wrapText="1"/>
    </xf>
    <xf numFmtId="0" fontId="57" fillId="78" borderId="57" xfId="0" applyFont="1" applyFill="1" applyBorder="1" applyAlignment="1" applyProtection="1">
      <alignment horizontal="left" vertical="center" wrapText="1"/>
    </xf>
    <xf numFmtId="0" fontId="0" fillId="0" borderId="0" xfId="0" applyProtection="1"/>
    <xf numFmtId="2" fontId="44" fillId="24" borderId="0" xfId="4688" applyNumberFormat="1" applyFont="1" applyFill="1" applyProtection="1"/>
    <xf numFmtId="2" fontId="44" fillId="0" borderId="0" xfId="0" applyNumberFormat="1" applyFont="1" applyProtection="1"/>
    <xf numFmtId="168" fontId="44" fillId="0" borderId="0" xfId="0" applyNumberFormat="1" applyFont="1" applyProtection="1"/>
    <xf numFmtId="168" fontId="44" fillId="0" borderId="75" xfId="0" applyNumberFormat="1" applyFont="1" applyBorder="1" applyProtection="1"/>
    <xf numFmtId="168" fontId="0" fillId="0" borderId="75" xfId="0" applyNumberFormat="1" applyBorder="1" applyProtection="1"/>
    <xf numFmtId="0" fontId="39" fillId="0" borderId="41" xfId="0" applyFont="1" applyBorder="1" applyAlignment="1" applyProtection="1">
      <alignment vertical="center" wrapText="1"/>
    </xf>
    <xf numFmtId="2" fontId="0" fillId="0" borderId="41" xfId="0" applyNumberFormat="1" applyBorder="1" applyAlignment="1" applyProtection="1">
      <alignment horizontal="center"/>
    </xf>
    <xf numFmtId="2" fontId="0" fillId="0" borderId="42" xfId="0" applyNumberFormat="1" applyBorder="1" applyAlignment="1" applyProtection="1">
      <alignment horizontal="center"/>
    </xf>
    <xf numFmtId="0" fontId="0" fillId="0" borderId="68" xfId="0" applyBorder="1" applyAlignment="1" applyProtection="1">
      <alignment horizontal="center" vertical="center" wrapText="1"/>
    </xf>
    <xf numFmtId="0" fontId="39" fillId="0" borderId="38" xfId="0" applyFont="1" applyBorder="1" applyAlignment="1" applyProtection="1">
      <alignment vertical="center" wrapText="1"/>
    </xf>
    <xf numFmtId="0" fontId="39" fillId="0" borderId="67" xfId="0" applyFont="1" applyBorder="1" applyAlignment="1" applyProtection="1">
      <alignment horizontal="center"/>
    </xf>
    <xf numFmtId="0" fontId="57" fillId="78" borderId="11" xfId="0" applyFont="1" applyFill="1" applyBorder="1" applyAlignment="1" applyProtection="1">
      <alignment horizontal="center" vertical="center" wrapText="1"/>
    </xf>
    <xf numFmtId="0" fontId="39" fillId="78" borderId="11" xfId="0" applyFont="1" applyFill="1" applyBorder="1" applyAlignment="1" applyProtection="1">
      <alignment horizontal="justify" vertical="center" wrapText="1"/>
    </xf>
    <xf numFmtId="6" fontId="0" fillId="0" borderId="57" xfId="0" applyNumberFormat="1" applyBorder="1" applyAlignment="1" applyProtection="1">
      <alignment horizontal="center" vertical="center"/>
    </xf>
    <xf numFmtId="164" fontId="44" fillId="0" borderId="0" xfId="439" applyNumberFormat="1" applyFont="1" applyProtection="1"/>
    <xf numFmtId="0" fontId="39" fillId="78" borderId="11" xfId="0" applyFont="1" applyFill="1" applyBorder="1" applyAlignment="1" applyProtection="1">
      <alignment horizontal="left" vertical="center" wrapText="1"/>
    </xf>
    <xf numFmtId="10" fontId="0" fillId="0" borderId="57" xfId="4688" applyNumberFormat="1" applyFont="1" applyFill="1" applyBorder="1" applyAlignment="1" applyProtection="1">
      <alignment horizontal="center" vertical="center"/>
    </xf>
    <xf numFmtId="10" fontId="44" fillId="0" borderId="0" xfId="4688" applyNumberFormat="1" applyFont="1" applyFill="1" applyBorder="1" applyProtection="1"/>
    <xf numFmtId="0" fontId="44" fillId="0" borderId="0" xfId="0" applyFont="1" applyAlignment="1" applyProtection="1">
      <alignment wrapText="1"/>
    </xf>
    <xf numFmtId="37" fontId="0" fillId="0" borderId="57" xfId="0" applyNumberFormat="1" applyBorder="1" applyAlignment="1" applyProtection="1">
      <alignment horizontal="center" vertical="center" wrapText="1"/>
    </xf>
    <xf numFmtId="37" fontId="68" fillId="83" borderId="57" xfId="0" applyNumberFormat="1" applyFont="1" applyFill="1" applyBorder="1" applyAlignment="1" applyProtection="1">
      <alignment horizontal="center" wrapText="1"/>
    </xf>
    <xf numFmtId="10" fontId="0" fillId="0" borderId="57" xfId="0" applyNumberFormat="1" applyBorder="1" applyAlignment="1" applyProtection="1">
      <alignment horizontal="center" vertical="center" wrapText="1"/>
    </xf>
    <xf numFmtId="43" fontId="44" fillId="0" borderId="0" xfId="439" applyFont="1" applyFill="1" applyBorder="1" applyProtection="1"/>
    <xf numFmtId="43" fontId="44" fillId="36" borderId="0" xfId="439" applyFont="1" applyFill="1" applyBorder="1" applyProtection="1"/>
    <xf numFmtId="43" fontId="44" fillId="36" borderId="0" xfId="0" applyNumberFormat="1" applyFont="1" applyFill="1" applyProtection="1"/>
    <xf numFmtId="0" fontId="57" fillId="78" borderId="57" xfId="0" applyFont="1" applyFill="1" applyBorder="1" applyAlignment="1" applyProtection="1">
      <alignment horizontal="center" wrapText="1"/>
    </xf>
    <xf numFmtId="0" fontId="57" fillId="78" borderId="57" xfId="0" applyFont="1" applyFill="1" applyBorder="1" applyAlignment="1" applyProtection="1">
      <alignment horizontal="left" wrapText="1"/>
    </xf>
    <xf numFmtId="39" fontId="44" fillId="0" borderId="0" xfId="0" applyNumberFormat="1" applyFont="1" applyProtection="1"/>
    <xf numFmtId="0" fontId="39" fillId="0" borderId="11" xfId="0" applyFont="1" applyBorder="1" applyAlignment="1" applyProtection="1">
      <alignment vertical="center" wrapText="1"/>
    </xf>
    <xf numFmtId="0" fontId="0" fillId="78" borderId="57" xfId="0" applyFill="1" applyBorder="1" applyAlignment="1" applyProtection="1">
      <alignment vertical="center" wrapText="1"/>
    </xf>
    <xf numFmtId="0" fontId="45" fillId="78" borderId="57" xfId="0" applyFont="1" applyFill="1" applyBorder="1" applyAlignment="1" applyProtection="1">
      <alignment vertical="center" wrapText="1"/>
    </xf>
    <xf numFmtId="0" fontId="0" fillId="78" borderId="57" xfId="0" applyFill="1" applyBorder="1" applyAlignment="1" applyProtection="1">
      <alignment horizontal="left" vertical="center" wrapText="1"/>
    </xf>
    <xf numFmtId="2" fontId="44" fillId="0" borderId="0" xfId="439" applyNumberFormat="1" applyFont="1" applyFill="1" applyBorder="1" applyProtection="1"/>
    <xf numFmtId="6" fontId="0" fillId="0" borderId="57" xfId="545" applyNumberFormat="1" applyFont="1" applyFill="1" applyBorder="1" applyAlignment="1" applyProtection="1">
      <alignment horizontal="center" vertical="center"/>
    </xf>
    <xf numFmtId="0" fontId="45" fillId="78" borderId="13" xfId="0" applyFont="1" applyFill="1" applyBorder="1" applyAlignment="1" applyProtection="1">
      <alignment horizontal="center" vertical="center" wrapText="1"/>
    </xf>
    <xf numFmtId="167" fontId="44" fillId="0" borderId="0" xfId="545" applyNumberFormat="1" applyFont="1" applyFill="1" applyBorder="1" applyProtection="1"/>
    <xf numFmtId="0" fontId="0" fillId="0" borderId="57" xfId="0" applyBorder="1" applyProtection="1"/>
    <xf numFmtId="0" fontId="39" fillId="78" borderId="57" xfId="0" applyFont="1" applyFill="1" applyBorder="1" applyAlignment="1" applyProtection="1">
      <alignment horizontal="center" wrapText="1"/>
    </xf>
    <xf numFmtId="0" fontId="0" fillId="78" borderId="88" xfId="0" applyFill="1" applyBorder="1" applyProtection="1"/>
    <xf numFmtId="0" fontId="39" fillId="78" borderId="67" xfId="0" applyFont="1" applyFill="1" applyBorder="1" applyAlignment="1" applyProtection="1">
      <alignment horizontal="center"/>
    </xf>
    <xf numFmtId="0" fontId="40" fillId="78" borderId="13" xfId="0" applyFont="1" applyFill="1" applyBorder="1" applyAlignment="1" applyProtection="1">
      <alignment horizontal="center" vertical="center"/>
    </xf>
    <xf numFmtId="0" fontId="39" fillId="78" borderId="67" xfId="0" applyFont="1" applyFill="1" applyBorder="1" applyAlignment="1" applyProtection="1">
      <alignment horizontal="left"/>
    </xf>
    <xf numFmtId="49" fontId="39" fillId="0" borderId="57" xfId="0" quotePrefix="1" applyNumberFormat="1" applyFont="1" applyBorder="1" applyAlignment="1" applyProtection="1">
      <alignment horizontal="center" vertical="center"/>
    </xf>
    <xf numFmtId="0" fontId="37" fillId="78" borderId="57" xfId="0" applyFont="1" applyFill="1" applyBorder="1" applyAlignment="1" applyProtection="1">
      <alignment horizontal="justify" vertical="center"/>
    </xf>
    <xf numFmtId="0" fontId="0" fillId="0" borderId="57" xfId="0" quotePrefix="1" applyBorder="1" applyProtection="1"/>
    <xf numFmtId="0" fontId="39" fillId="78" borderId="78" xfId="0" applyFont="1" applyFill="1" applyBorder="1" applyAlignment="1" applyProtection="1">
      <alignment horizontal="center" wrapText="1"/>
    </xf>
    <xf numFmtId="0" fontId="0" fillId="78" borderId="57" xfId="0" applyFill="1" applyBorder="1" applyProtection="1"/>
    <xf numFmtId="0" fontId="45" fillId="78" borderId="13" xfId="0" applyFont="1" applyFill="1" applyBorder="1" applyAlignment="1" applyProtection="1">
      <alignment vertical="center"/>
    </xf>
    <xf numFmtId="0" fontId="0" fillId="78" borderId="87" xfId="0" applyFill="1" applyBorder="1" applyAlignment="1" applyProtection="1">
      <alignment horizontal="left"/>
    </xf>
    <xf numFmtId="10" fontId="178" fillId="0" borderId="57" xfId="4688" applyNumberFormat="1" applyFont="1" applyFill="1" applyBorder="1" applyAlignment="1" applyProtection="1">
      <alignment horizontal="center" vertical="center" wrapText="1"/>
    </xf>
    <xf numFmtId="10" fontId="178" fillId="0" borderId="57" xfId="0" applyNumberFormat="1" applyFont="1" applyBorder="1" applyAlignment="1" applyProtection="1">
      <alignment horizontal="center" vertical="center" wrapText="1"/>
    </xf>
    <xf numFmtId="0" fontId="39" fillId="0" borderId="57" xfId="0" applyFont="1" applyBorder="1" applyAlignment="1" applyProtection="1">
      <alignment horizontal="center" vertical="center"/>
    </xf>
    <xf numFmtId="37" fontId="178" fillId="0" borderId="57" xfId="0" applyNumberFormat="1" applyFont="1" applyBorder="1" applyAlignment="1" applyProtection="1">
      <alignment horizontal="center" vertical="center" wrapText="1"/>
    </xf>
    <xf numFmtId="0" fontId="57" fillId="0" borderId="0" xfId="0" applyFont="1" applyAlignment="1" applyProtection="1">
      <alignment wrapText="1"/>
    </xf>
    <xf numFmtId="0" fontId="0" fillId="78" borderId="57" xfId="0" applyFill="1" applyBorder="1" applyAlignment="1" applyProtection="1">
      <alignment vertical="center"/>
    </xf>
    <xf numFmtId="0" fontId="44" fillId="0" borderId="85" xfId="0" applyFont="1" applyBorder="1" applyProtection="1"/>
    <xf numFmtId="0" fontId="37" fillId="78" borderId="57" xfId="0" applyFont="1" applyFill="1" applyBorder="1" applyAlignment="1" applyProtection="1">
      <alignment vertical="center" wrapText="1"/>
    </xf>
    <xf numFmtId="0" fontId="0" fillId="1" borderId="57" xfId="0" applyFill="1" applyBorder="1" applyAlignment="1" applyProtection="1">
      <alignment horizontal="center" vertical="center" wrapText="1"/>
    </xf>
    <xf numFmtId="0" fontId="39" fillId="34" borderId="57" xfId="0" quotePrefix="1" applyFont="1" applyFill="1" applyBorder="1" applyAlignment="1" applyProtection="1">
      <alignment horizontal="center" vertical="center"/>
    </xf>
    <xf numFmtId="0" fontId="0" fillId="78" borderId="57" xfId="0" applyFill="1" applyBorder="1" applyAlignment="1" applyProtection="1">
      <alignment horizontal="center"/>
    </xf>
    <xf numFmtId="0" fontId="45" fillId="78" borderId="13" xfId="0" applyFont="1" applyFill="1" applyBorder="1" applyAlignment="1" applyProtection="1">
      <alignment vertical="center" wrapText="1"/>
    </xf>
    <xf numFmtId="0" fontId="0" fillId="0" borderId="57" xfId="0" applyBorder="1" applyAlignment="1" applyProtection="1">
      <alignment horizontal="center" vertical="center"/>
    </xf>
    <xf numFmtId="37" fontId="44" fillId="0" borderId="0" xfId="0" applyNumberFormat="1" applyFont="1" applyAlignment="1" applyProtection="1">
      <alignment horizontal="center"/>
    </xf>
    <xf numFmtId="0" fontId="39" fillId="0" borderId="84" xfId="0" applyFont="1" applyBorder="1" applyAlignment="1" applyProtection="1">
      <alignment horizontal="center" vertical="center"/>
    </xf>
    <xf numFmtId="0" fontId="0" fillId="0" borderId="79" xfId="0" applyBorder="1" applyProtection="1"/>
    <xf numFmtId="0" fontId="0" fillId="0" borderId="84" xfId="0" applyBorder="1" applyProtection="1"/>
    <xf numFmtId="0" fontId="44" fillId="0" borderId="86" xfId="0" applyFont="1" applyBorder="1" applyProtection="1"/>
    <xf numFmtId="0" fontId="0" fillId="0" borderId="86" xfId="0" applyBorder="1" applyProtection="1"/>
    <xf numFmtId="181" fontId="0" fillId="36" borderId="0" xfId="0" applyNumberFormat="1" applyFill="1" applyAlignment="1">
      <alignment wrapText="1"/>
    </xf>
    <xf numFmtId="37" fontId="0" fillId="0" borderId="57" xfId="0" applyNumberFormat="1" applyFill="1" applyBorder="1" applyAlignment="1" applyProtection="1">
      <alignment horizontal="center" vertical="center" wrapText="1"/>
    </xf>
    <xf numFmtId="37" fontId="0" fillId="0" borderId="57" xfId="0" applyNumberFormat="1" applyFill="1" applyBorder="1" applyAlignment="1" applyProtection="1">
      <alignment horizontal="center" vertical="center"/>
    </xf>
    <xf numFmtId="0" fontId="0" fillId="0" borderId="0" xfId="0" quotePrefix="1" applyFill="1" applyAlignment="1">
      <alignment horizontal="center"/>
    </xf>
    <xf numFmtId="0" fontId="135" fillId="0" borderId="0" xfId="0" applyFont="1" applyFill="1" applyAlignment="1">
      <alignment horizontal="left" vertical="center" wrapText="1"/>
    </xf>
    <xf numFmtId="0" fontId="68" fillId="0" borderId="76" xfId="0" applyFont="1" applyFill="1" applyBorder="1" applyAlignment="1">
      <alignment vertical="center" wrapText="1"/>
    </xf>
    <xf numFmtId="10" fontId="44" fillId="24" borderId="0" xfId="4688" applyNumberFormat="1" applyFont="1" applyFill="1" applyAlignment="1" applyProtection="1">
      <alignment wrapText="1"/>
    </xf>
    <xf numFmtId="10" fontId="0" fillId="0" borderId="57" xfId="4688" applyNumberFormat="1" applyFont="1" applyFill="1" applyBorder="1" applyAlignment="1" applyProtection="1">
      <alignment horizontal="center" vertical="center" wrapText="1"/>
    </xf>
    <xf numFmtId="164" fontId="44" fillId="24" borderId="0" xfId="439" applyNumberFormat="1" applyFont="1" applyFill="1" applyAlignment="1" applyProtection="1">
      <alignment wrapText="1"/>
    </xf>
    <xf numFmtId="6" fontId="0" fillId="0" borderId="57" xfId="545" applyNumberFormat="1" applyFont="1" applyFill="1" applyBorder="1" applyAlignment="1" applyProtection="1">
      <alignment horizontal="center" vertical="center" wrapText="1"/>
    </xf>
    <xf numFmtId="49" fontId="44" fillId="36" borderId="10" xfId="4688" applyNumberFormat="1" applyFont="1" applyFill="1" applyBorder="1" applyAlignment="1" applyProtection="1">
      <alignment horizontal="right"/>
    </xf>
    <xf numFmtId="3" fontId="44" fillId="36" borderId="10" xfId="4688" applyNumberFormat="1" applyFont="1" applyFill="1" applyBorder="1" applyProtection="1"/>
    <xf numFmtId="0" fontId="37" fillId="78" borderId="57" xfId="0" applyFont="1" applyFill="1" applyBorder="1" applyAlignment="1" applyProtection="1">
      <alignment horizontal="left" vertical="center" wrapText="1"/>
    </xf>
    <xf numFmtId="0" fontId="40" fillId="0" borderId="0" xfId="0" applyFont="1" applyFill="1" applyBorder="1" applyAlignment="1">
      <alignment wrapText="1"/>
    </xf>
    <xf numFmtId="0" fontId="39" fillId="34" borderId="16" xfId="0" applyFont="1" applyFill="1" applyBorder="1" applyAlignment="1" applyProtection="1">
      <alignment horizontal="justify" vertical="center" wrapText="1"/>
    </xf>
    <xf numFmtId="0" fontId="45" fillId="34" borderId="57" xfId="0" applyFont="1" applyFill="1" applyBorder="1" applyAlignment="1" applyProtection="1">
      <alignment horizontal="center" vertical="center" wrapText="1"/>
    </xf>
    <xf numFmtId="170" fontId="44" fillId="34" borderId="0" xfId="439" applyNumberFormat="1" applyFont="1" applyFill="1" applyAlignment="1" applyProtection="1">
      <alignment wrapText="1"/>
    </xf>
    <xf numFmtId="190" fontId="44" fillId="34" borderId="0" xfId="0" applyNumberFormat="1" applyFont="1" applyFill="1" applyProtection="1"/>
    <xf numFmtId="43" fontId="44" fillId="34" borderId="0" xfId="439" applyFont="1" applyFill="1" applyBorder="1" applyProtection="1"/>
    <xf numFmtId="2" fontId="0" fillId="34" borderId="57" xfId="4688" applyNumberFormat="1" applyFont="1" applyFill="1" applyBorder="1" applyAlignment="1" applyProtection="1">
      <alignment horizontal="center" vertical="center" wrapText="1"/>
    </xf>
    <xf numFmtId="2" fontId="0" fillId="34" borderId="57" xfId="0" applyNumberFormat="1" applyFill="1" applyBorder="1" applyAlignment="1" applyProtection="1">
      <alignment horizontal="center" vertical="center" wrapText="1"/>
    </xf>
    <xf numFmtId="0" fontId="0" fillId="21" borderId="77" xfId="0" applyFont="1" applyFill="1" applyBorder="1" applyAlignment="1" applyProtection="1">
      <alignment horizontal="center" vertical="center" wrapText="1"/>
    </xf>
    <xf numFmtId="0" fontId="39" fillId="21" borderId="77" xfId="0" applyFont="1" applyFill="1" applyBorder="1" applyAlignment="1" applyProtection="1">
      <alignment horizontal="center" wrapText="1"/>
    </xf>
    <xf numFmtId="164" fontId="69" fillId="21" borderId="100" xfId="439" applyNumberFormat="1" applyFont="1" applyFill="1" applyBorder="1" applyAlignment="1" applyProtection="1">
      <alignment horizontal="center" wrapText="1"/>
    </xf>
    <xf numFmtId="0" fontId="0" fillId="29" borderId="0" xfId="0" applyFont="1" applyFill="1" applyAlignment="1" applyProtection="1">
      <alignment horizontal="center" vertical="center" wrapText="1"/>
    </xf>
    <xf numFmtId="0" fontId="44" fillId="29" borderId="0" xfId="0" applyFont="1" applyFill="1" applyAlignment="1" applyProtection="1">
      <alignment horizontal="center" vertical="center" wrapText="1"/>
    </xf>
    <xf numFmtId="0" fontId="44" fillId="29" borderId="45" xfId="0" applyFont="1" applyFill="1" applyBorder="1" applyAlignment="1" applyProtection="1">
      <alignment horizontal="center" vertical="center" wrapText="1"/>
    </xf>
    <xf numFmtId="0" fontId="0" fillId="29" borderId="0" xfId="0" applyFill="1" applyAlignment="1">
      <alignment horizontal="center" vertical="center" wrapText="1"/>
    </xf>
    <xf numFmtId="0" fontId="0" fillId="29" borderId="45" xfId="0" applyFont="1" applyFill="1" applyBorder="1" applyAlignment="1" applyProtection="1">
      <alignment horizontal="center" vertical="center" wrapText="1"/>
    </xf>
    <xf numFmtId="0" fontId="0" fillId="29" borderId="36" xfId="0" applyNumberFormat="1" applyFont="1" applyFill="1" applyBorder="1" applyAlignment="1" applyProtection="1">
      <alignment horizontal="center" vertical="center" wrapText="1"/>
    </xf>
    <xf numFmtId="10" fontId="0" fillId="0" borderId="57" xfId="0" applyNumberFormat="1" applyFill="1" applyBorder="1" applyAlignment="1" applyProtection="1">
      <alignment horizontal="center" vertical="center" wrapText="1"/>
    </xf>
    <xf numFmtId="2" fontId="0" fillId="0" borderId="68" xfId="0" applyNumberFormat="1" applyFill="1" applyBorder="1" applyAlignment="1" applyProtection="1">
      <alignment horizontal="center" vertical="center"/>
    </xf>
    <xf numFmtId="5" fontId="0" fillId="0" borderId="57" xfId="0" applyNumberFormat="1" applyFill="1" applyBorder="1" applyAlignment="1" applyProtection="1">
      <alignment horizontal="center" vertical="center"/>
    </xf>
    <xf numFmtId="10" fontId="0" fillId="0" borderId="57" xfId="0" applyNumberFormat="1" applyFill="1" applyBorder="1" applyAlignment="1" applyProtection="1">
      <alignment horizontal="center" vertical="center"/>
    </xf>
    <xf numFmtId="2" fontId="0" fillId="0" borderId="57" xfId="0" applyNumberFormat="1" applyFill="1" applyBorder="1" applyAlignment="1" applyProtection="1">
      <alignment horizontal="center" vertical="center" wrapText="1"/>
    </xf>
    <xf numFmtId="6" fontId="0" fillId="0" borderId="57" xfId="0" applyNumberFormat="1" applyFill="1" applyBorder="1" applyAlignment="1" applyProtection="1">
      <alignment horizontal="center" vertical="center"/>
    </xf>
    <xf numFmtId="10" fontId="44" fillId="73" borderId="0" xfId="0" applyNumberFormat="1" applyFont="1" applyFill="1" applyAlignment="1" applyProtection="1">
      <alignment horizontal="center"/>
    </xf>
    <xf numFmtId="0" fontId="44" fillId="0" borderId="0" xfId="0" quotePrefix="1" applyFont="1" applyProtection="1"/>
    <xf numFmtId="168" fontId="44" fillId="0" borderId="104" xfId="0" applyNumberFormat="1" applyFont="1" applyBorder="1" applyProtection="1"/>
    <xf numFmtId="168" fontId="44" fillId="0" borderId="105" xfId="0" applyNumberFormat="1" applyFont="1" applyBorder="1" applyProtection="1"/>
    <xf numFmtId="0" fontId="44" fillId="0" borderId="106" xfId="0" applyFont="1" applyBorder="1" applyProtection="1"/>
    <xf numFmtId="0" fontId="44" fillId="0" borderId="79" xfId="0" applyFont="1" applyBorder="1" applyProtection="1"/>
    <xf numFmtId="0" fontId="44" fillId="29" borderId="10" xfId="0" applyFont="1" applyFill="1" applyBorder="1" applyProtection="1"/>
    <xf numFmtId="2" fontId="44" fillId="73" borderId="0" xfId="4688" applyNumberFormat="1" applyFont="1" applyFill="1" applyAlignment="1" applyProtection="1">
      <alignment wrapText="1"/>
    </xf>
    <xf numFmtId="2" fontId="44" fillId="24" borderId="0" xfId="4688" quotePrefix="1" applyNumberFormat="1" applyFont="1" applyFill="1" applyProtection="1"/>
    <xf numFmtId="0" fontId="44" fillId="73" borderId="10" xfId="0" applyFont="1" applyFill="1" applyBorder="1" applyProtection="1"/>
    <xf numFmtId="2" fontId="0" fillId="36" borderId="0" xfId="0" applyNumberFormat="1" applyFill="1"/>
    <xf numFmtId="0" fontId="0" fillId="0" borderId="57" xfId="0" applyNumberFormat="1" applyFill="1" applyBorder="1" applyAlignment="1" applyProtection="1">
      <alignment horizontal="center" vertical="center" wrapText="1"/>
    </xf>
    <xf numFmtId="0" fontId="182" fillId="34" borderId="57" xfId="0" applyFont="1" applyFill="1" applyBorder="1" applyAlignment="1">
      <alignment horizontal="left" vertical="center" wrapText="1"/>
    </xf>
    <xf numFmtId="0" fontId="39" fillId="0" borderId="57" xfId="0" quotePrefix="1" applyFont="1" applyFill="1" applyBorder="1" applyAlignment="1" applyProtection="1">
      <alignment horizontal="center" vertical="center"/>
    </xf>
    <xf numFmtId="10" fontId="39" fillId="34" borderId="57" xfId="0" applyNumberFormat="1" applyFont="1" applyFill="1" applyBorder="1" applyAlignment="1" applyProtection="1">
      <alignment horizontal="center" vertical="center" wrapText="1"/>
    </xf>
    <xf numFmtId="164" fontId="44" fillId="73" borderId="0" xfId="439" applyNumberFormat="1" applyFont="1" applyFill="1" applyAlignment="1" applyProtection="1">
      <alignment wrapText="1"/>
    </xf>
    <xf numFmtId="3" fontId="0" fillId="73" borderId="0" xfId="0" applyNumberFormat="1" applyFill="1" applyAlignment="1" applyProtection="1">
      <alignment wrapText="1"/>
    </xf>
    <xf numFmtId="10" fontId="44" fillId="73" borderId="0" xfId="4688" applyNumberFormat="1" applyFont="1" applyFill="1" applyAlignment="1" applyProtection="1">
      <alignment wrapText="1"/>
    </xf>
    <xf numFmtId="0" fontId="0" fillId="73" borderId="0" xfId="0" applyFill="1" applyProtection="1"/>
    <xf numFmtId="0" fontId="0" fillId="34" borderId="0" xfId="0" applyFont="1" applyFill="1" applyAlignment="1" applyProtection="1">
      <alignment vertical="center" wrapText="1"/>
      <protection locked="0"/>
    </xf>
    <xf numFmtId="1" fontId="0" fillId="0" borderId="25" xfId="0" applyNumberFormat="1" applyFont="1" applyFill="1" applyBorder="1" applyAlignment="1" applyProtection="1">
      <alignment horizontal="center" vertical="center" wrapText="1"/>
    </xf>
    <xf numFmtId="169" fontId="0" fillId="34" borderId="29" xfId="439" applyNumberFormat="1" applyFont="1" applyFill="1" applyBorder="1" applyAlignment="1" applyProtection="1">
      <alignment vertical="center"/>
    </xf>
    <xf numFmtId="37" fontId="0" fillId="34" borderId="29" xfId="439" applyNumberFormat="1" applyFont="1" applyFill="1" applyBorder="1" applyAlignment="1" applyProtection="1">
      <alignment horizontal="right" vertical="center"/>
    </xf>
    <xf numFmtId="49" fontId="0" fillId="34" borderId="29" xfId="439" applyNumberFormat="1" applyFont="1" applyFill="1" applyBorder="1" applyAlignment="1" applyProtection="1">
      <alignment horizontal="right" vertical="center" wrapText="1"/>
    </xf>
    <xf numFmtId="171" fontId="0" fillId="0" borderId="0" xfId="0" applyNumberFormat="1" applyFont="1" applyFill="1" applyAlignment="1" applyProtection="1">
      <alignment vertical="center" wrapText="1"/>
    </xf>
    <xf numFmtId="0" fontId="37" fillId="34" borderId="16" xfId="0" applyFont="1" applyFill="1" applyBorder="1" applyAlignment="1" applyProtection="1">
      <alignment horizontal="justify" vertical="center" wrapText="1"/>
    </xf>
    <xf numFmtId="190" fontId="0" fillId="34" borderId="16" xfId="0" applyNumberFormat="1" applyFill="1" applyBorder="1" applyAlignment="1" applyProtection="1">
      <alignment horizontal="center" vertical="center" wrapText="1"/>
    </xf>
    <xf numFmtId="0" fontId="183" fillId="34" borderId="57" xfId="0" applyFont="1" applyFill="1" applyBorder="1" applyAlignment="1" applyProtection="1">
      <alignment vertical="center" wrapText="1"/>
    </xf>
    <xf numFmtId="0" fontId="69" fillId="36" borderId="0" xfId="0" applyFont="1" applyFill="1" applyAlignment="1" applyProtection="1">
      <alignment horizontal="center" vertical="center" wrapText="1"/>
    </xf>
    <xf numFmtId="0" fontId="41" fillId="34" borderId="25" xfId="0" applyNumberFormat="1" applyFont="1" applyFill="1" applyBorder="1" applyAlignment="1" applyProtection="1">
      <alignment horizontal="left" vertical="center" wrapText="1"/>
    </xf>
    <xf numFmtId="14" fontId="0" fillId="78" borderId="64" xfId="439" applyNumberFormat="1" applyFont="1" applyFill="1" applyBorder="1" applyAlignment="1" applyProtection="1">
      <alignment horizontal="center" vertical="center" wrapText="1"/>
    </xf>
    <xf numFmtId="0" fontId="0" fillId="1" borderId="57" xfId="0" applyFill="1" applyBorder="1" applyAlignment="1">
      <alignment horizontal="center" vertical="center" wrapText="1"/>
    </xf>
    <xf numFmtId="14" fontId="0" fillId="0" borderId="0" xfId="0" applyNumberFormat="1" applyAlignment="1">
      <alignment horizontal="center" vertical="center"/>
    </xf>
    <xf numFmtId="14" fontId="0" fillId="0" borderId="57" xfId="0" applyNumberFormat="1" applyBorder="1" applyAlignment="1" applyProtection="1">
      <alignment horizontal="center" vertical="center" wrapText="1"/>
    </xf>
    <xf numFmtId="14" fontId="44" fillId="0" borderId="0" xfId="0" applyNumberFormat="1" applyFont="1" applyProtection="1"/>
    <xf numFmtId="14" fontId="44" fillId="0" borderId="74" xfId="0" applyNumberFormat="1" applyFont="1" applyBorder="1" applyProtection="1"/>
    <xf numFmtId="0" fontId="69" fillId="85" borderId="76" xfId="0" applyFont="1" applyFill="1" applyBorder="1" applyAlignment="1">
      <alignment vertical="center" wrapText="1"/>
    </xf>
    <xf numFmtId="0" fontId="0" fillId="85" borderId="10" xfId="0" applyFill="1" applyBorder="1" applyAlignment="1">
      <alignment vertical="center" wrapText="1"/>
    </xf>
    <xf numFmtId="14" fontId="44" fillId="0" borderId="69" xfId="0" applyNumberFormat="1" applyFont="1" applyBorder="1" applyProtection="1"/>
    <xf numFmtId="14" fontId="44" fillId="34" borderId="70" xfId="0" applyNumberFormat="1" applyFont="1" applyFill="1" applyBorder="1" applyProtection="1"/>
    <xf numFmtId="14" fontId="44" fillId="34" borderId="71" xfId="0" applyNumberFormat="1" applyFont="1" applyFill="1" applyBorder="1" applyProtection="1"/>
    <xf numFmtId="0" fontId="44" fillId="0" borderId="22" xfId="0" applyFont="1" applyBorder="1" applyProtection="1"/>
    <xf numFmtId="0" fontId="44" fillId="0" borderId="0" xfId="0" applyFont="1" applyBorder="1" applyProtection="1"/>
    <xf numFmtId="0" fontId="44" fillId="0" borderId="56" xfId="0" applyFont="1" applyBorder="1" applyProtection="1"/>
    <xf numFmtId="14" fontId="44" fillId="0" borderId="0" xfId="0" applyNumberFormat="1" applyFont="1" applyBorder="1" applyProtection="1"/>
    <xf numFmtId="14" fontId="44" fillId="0" borderId="56" xfId="0" applyNumberFormat="1" applyFont="1" applyBorder="1" applyProtection="1"/>
    <xf numFmtId="0" fontId="44" fillId="0" borderId="72" xfId="0" applyFont="1" applyBorder="1" applyProtection="1"/>
    <xf numFmtId="14" fontId="44" fillId="0" borderId="17" xfId="0" applyNumberFormat="1" applyFont="1" applyBorder="1" applyProtection="1"/>
    <xf numFmtId="14" fontId="44" fillId="0" borderId="73" xfId="0" applyNumberFormat="1" applyFont="1" applyBorder="1" applyProtection="1"/>
    <xf numFmtId="38" fontId="68" fillId="20" borderId="0" xfId="0" applyNumberFormat="1" applyFont="1" applyFill="1" applyAlignment="1" applyProtection="1">
      <alignment vertical="center" wrapText="1"/>
    </xf>
    <xf numFmtId="0" fontId="0" fillId="0" borderId="77" xfId="0" applyFill="1" applyBorder="1" applyAlignment="1">
      <alignment horizontal="center" vertical="center"/>
    </xf>
    <xf numFmtId="0" fontId="0" fillId="29" borderId="77" xfId="0" applyFill="1" applyBorder="1" applyAlignment="1" applyProtection="1">
      <alignment horizontal="center" vertical="center"/>
      <protection locked="0"/>
    </xf>
    <xf numFmtId="0" fontId="68" fillId="0" borderId="69" xfId="0" applyFont="1" applyFill="1" applyBorder="1" applyAlignment="1">
      <alignment vertical="center" wrapText="1"/>
    </xf>
    <xf numFmtId="0" fontId="0" fillId="29" borderId="12" xfId="0" applyFill="1" applyBorder="1" applyAlignment="1" applyProtection="1">
      <alignment horizontal="center" vertical="center"/>
      <protection locked="0"/>
    </xf>
    <xf numFmtId="0" fontId="0" fillId="78" borderId="76" xfId="0" applyFill="1" applyBorder="1" applyAlignment="1">
      <alignment horizontal="left" vertical="center"/>
    </xf>
    <xf numFmtId="0" fontId="0" fillId="78" borderId="14" xfId="0" applyFill="1" applyBorder="1" applyAlignment="1">
      <alignment vertical="center" wrapText="1"/>
    </xf>
    <xf numFmtId="0" fontId="0" fillId="78" borderId="14" xfId="0" applyFill="1" applyBorder="1" applyAlignment="1" applyProtection="1">
      <alignment horizontal="center" vertical="center"/>
      <protection locked="0"/>
    </xf>
    <xf numFmtId="0" fontId="68" fillId="78" borderId="21" xfId="0" applyFont="1" applyFill="1" applyBorder="1" applyAlignment="1">
      <alignment vertical="center" wrapText="1"/>
    </xf>
    <xf numFmtId="0" fontId="0" fillId="0" borderId="10" xfId="0" applyFill="1" applyBorder="1" applyAlignment="1" applyProtection="1">
      <alignment vertical="center" wrapText="1"/>
      <protection locked="0"/>
    </xf>
    <xf numFmtId="0" fontId="0" fillId="0" borderId="10" xfId="0" applyFill="1" applyBorder="1" applyAlignment="1" applyProtection="1">
      <alignment wrapText="1"/>
      <protection locked="0"/>
    </xf>
    <xf numFmtId="0" fontId="0" fillId="0" borderId="10" xfId="0" applyBorder="1" applyAlignment="1" applyProtection="1">
      <alignment wrapText="1"/>
      <protection locked="0"/>
    </xf>
    <xf numFmtId="0" fontId="0" fillId="0" borderId="0" xfId="0" applyAlignment="1" applyProtection="1">
      <alignment wrapText="1"/>
      <protection locked="0"/>
    </xf>
    <xf numFmtId="168" fontId="0" fillId="0" borderId="0" xfId="0" applyNumberFormat="1" applyFont="1" applyAlignment="1" applyProtection="1">
      <alignment wrapText="1"/>
    </xf>
    <xf numFmtId="37" fontId="0" fillId="0" borderId="0" xfId="0" applyNumberFormat="1" applyFont="1" applyFill="1" applyAlignment="1" applyProtection="1">
      <alignment horizontal="center" vertical="center" wrapText="1"/>
    </xf>
    <xf numFmtId="14" fontId="0" fillId="0" borderId="0" xfId="0" applyNumberFormat="1" applyFont="1" applyAlignment="1">
      <alignment wrapText="1"/>
    </xf>
    <xf numFmtId="14" fontId="0" fillId="0" borderId="0" xfId="0" applyNumberFormat="1" applyFont="1" applyFill="1" applyAlignment="1" applyProtection="1">
      <alignment horizontal="center" vertical="center" wrapText="1"/>
    </xf>
    <xf numFmtId="0" fontId="0" fillId="0" borderId="77" xfId="0" applyFill="1" applyBorder="1" applyAlignment="1">
      <alignment vertical="center" wrapText="1"/>
    </xf>
    <xf numFmtId="0" fontId="68" fillId="0" borderId="12" xfId="0" applyFont="1" applyFill="1" applyBorder="1" applyAlignment="1">
      <alignment vertical="center" wrapText="1"/>
    </xf>
    <xf numFmtId="0" fontId="0" fillId="29" borderId="10" xfId="0" applyFill="1" applyBorder="1" applyAlignment="1" applyProtection="1">
      <alignment horizontal="left" vertical="center" wrapText="1"/>
      <protection locked="0"/>
    </xf>
    <xf numFmtId="0" fontId="0" fillId="0" borderId="10" xfId="0" applyFill="1" applyBorder="1" applyAlignment="1">
      <alignment horizontal="left" wrapText="1"/>
    </xf>
    <xf numFmtId="49" fontId="0" fillId="31" borderId="13" xfId="0" applyNumberFormat="1" applyFont="1" applyFill="1" applyBorder="1" applyAlignment="1" applyProtection="1">
      <alignment horizontal="left"/>
      <protection locked="0"/>
    </xf>
    <xf numFmtId="14" fontId="0" fillId="31" borderId="13" xfId="0" applyNumberFormat="1" applyFont="1" applyFill="1" applyBorder="1" applyAlignment="1" applyProtection="1">
      <alignment horizontal="left"/>
      <protection locked="0"/>
    </xf>
    <xf numFmtId="184" fontId="0" fillId="31" borderId="13" xfId="0" applyNumberFormat="1" applyFont="1" applyFill="1" applyBorder="1" applyAlignment="1" applyProtection="1">
      <alignment horizontal="left"/>
      <protection locked="0"/>
    </xf>
    <xf numFmtId="49" fontId="35" fillId="31" borderId="13" xfId="611" applyNumberFormat="1" applyFill="1" applyBorder="1" applyAlignment="1" applyProtection="1">
      <alignment horizontal="left"/>
      <protection locked="0"/>
    </xf>
    <xf numFmtId="4" fontId="0" fillId="36" borderId="0" xfId="0" applyNumberFormat="1" applyFill="1"/>
    <xf numFmtId="14" fontId="0" fillId="0" borderId="0" xfId="0" applyNumberFormat="1" applyFont="1" applyFill="1" applyAlignment="1" applyProtection="1">
      <alignment wrapText="1"/>
    </xf>
    <xf numFmtId="0" fontId="0" fillId="0" borderId="12" xfId="0" applyFill="1" applyBorder="1" applyAlignment="1">
      <alignment horizontal="center" vertical="center"/>
    </xf>
    <xf numFmtId="0" fontId="0" fillId="0" borderId="12" xfId="0" applyFill="1" applyBorder="1" applyAlignment="1">
      <alignment vertical="center" wrapText="1"/>
    </xf>
    <xf numFmtId="1" fontId="44" fillId="0" borderId="0" xfId="0" applyNumberFormat="1" applyFont="1"/>
    <xf numFmtId="0" fontId="195" fillId="0" borderId="0" xfId="0" applyFont="1"/>
    <xf numFmtId="0" fontId="0" fillId="86" borderId="0" xfId="0" applyFill="1" applyAlignment="1">
      <alignment wrapText="1"/>
    </xf>
    <xf numFmtId="0" fontId="0" fillId="79" borderId="0" xfId="0" applyFill="1" applyAlignment="1">
      <alignment horizontal="center"/>
    </xf>
    <xf numFmtId="0" fontId="0" fillId="79" borderId="0" xfId="0" applyFill="1"/>
    <xf numFmtId="39" fontId="0" fillId="0" borderId="0" xfId="0" applyNumberFormat="1"/>
    <xf numFmtId="43" fontId="0" fillId="0" borderId="0" xfId="0" applyNumberFormat="1"/>
    <xf numFmtId="3" fontId="0" fillId="24" borderId="0" xfId="0" applyNumberFormat="1" applyFill="1" applyAlignment="1" applyProtection="1">
      <alignment wrapText="1"/>
    </xf>
    <xf numFmtId="43" fontId="0" fillId="0" borderId="0" xfId="0" applyNumberFormat="1" applyFill="1"/>
    <xf numFmtId="0" fontId="45" fillId="0" borderId="13" xfId="0" applyFont="1" applyFill="1" applyBorder="1" applyAlignment="1" applyProtection="1">
      <alignment horizontal="center" vertical="center" wrapText="1"/>
    </xf>
    <xf numFmtId="0" fontId="40" fillId="78" borderId="57" xfId="0" applyFont="1" applyFill="1" applyBorder="1" applyAlignment="1" applyProtection="1">
      <alignment vertical="center" wrapText="1"/>
    </xf>
    <xf numFmtId="0" fontId="0" fillId="85" borderId="0" xfId="0" applyFill="1" applyAlignment="1">
      <alignment horizontal="center"/>
    </xf>
    <xf numFmtId="0" fontId="0" fillId="85" borderId="0" xfId="0" applyFill="1"/>
    <xf numFmtId="164" fontId="0" fillId="85" borderId="0" xfId="439" applyNumberFormat="1" applyFont="1" applyFill="1"/>
    <xf numFmtId="4" fontId="0" fillId="85" borderId="0" xfId="0" applyNumberFormat="1" applyFill="1"/>
    <xf numFmtId="4" fontId="0" fillId="20" borderId="0" xfId="0" applyNumberFormat="1" applyFill="1"/>
    <xf numFmtId="3" fontId="0" fillId="0" borderId="0" xfId="0" applyNumberFormat="1"/>
    <xf numFmtId="3" fontId="0" fillId="36" borderId="0" xfId="0" applyNumberFormat="1" applyFill="1"/>
    <xf numFmtId="43" fontId="0" fillId="85" borderId="0" xfId="439" applyFont="1" applyFill="1"/>
    <xf numFmtId="2" fontId="0" fillId="20" borderId="0" xfId="0" applyNumberFormat="1" applyFill="1"/>
    <xf numFmtId="0" fontId="44" fillId="0" borderId="105" xfId="0" applyFont="1" applyBorder="1" applyProtection="1"/>
    <xf numFmtId="0" fontId="44" fillId="29" borderId="57" xfId="0" applyFont="1" applyFill="1" applyBorder="1" applyProtection="1"/>
    <xf numFmtId="0" fontId="44" fillId="73" borderId="83" xfId="0" applyFont="1" applyFill="1" applyBorder="1" applyProtection="1"/>
    <xf numFmtId="10" fontId="0" fillId="73" borderId="0" xfId="4688" applyNumberFormat="1" applyFont="1" applyFill="1" applyAlignment="1" applyProtection="1">
      <alignment horizontal="center"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4" borderId="80" xfId="0" applyFont="1" applyFill="1" applyBorder="1" applyAlignment="1">
      <alignment horizontal="left" vertical="center" wrapText="1"/>
    </xf>
    <xf numFmtId="0" fontId="193" fillId="34" borderId="13" xfId="0" applyFont="1" applyFill="1" applyBorder="1" applyAlignment="1">
      <alignment horizontal="center" vertical="center" wrapText="1"/>
    </xf>
    <xf numFmtId="0" fontId="193" fillId="34" borderId="16" xfId="0" applyFont="1" applyFill="1" applyBorder="1" applyAlignment="1">
      <alignment horizontal="center" vertical="center" wrapText="1"/>
    </xf>
    <xf numFmtId="0" fontId="193" fillId="34" borderId="11" xfId="0" applyFont="1" applyFill="1" applyBorder="1" applyAlignment="1">
      <alignment horizontal="center" vertical="center" wrapText="1"/>
    </xf>
    <xf numFmtId="0" fontId="0" fillId="0" borderId="38" xfId="0" applyFont="1" applyBorder="1" applyAlignment="1">
      <alignment horizontal="left" wrapText="1"/>
    </xf>
    <xf numFmtId="0" fontId="0" fillId="36" borderId="13" xfId="0" applyFill="1" applyBorder="1" applyAlignment="1">
      <alignment horizontal="left" wrapText="1"/>
    </xf>
    <xf numFmtId="0" fontId="0" fillId="36" borderId="16" xfId="0" applyFill="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69" fillId="34" borderId="67" xfId="0" applyFont="1" applyFill="1" applyBorder="1" applyAlignment="1">
      <alignment horizontal="center" wrapText="1"/>
    </xf>
    <xf numFmtId="0" fontId="69" fillId="34" borderId="87" xfId="0" applyFont="1" applyFill="1" applyBorder="1" applyAlignment="1">
      <alignment horizontal="center"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40" fillId="26" borderId="11" xfId="0" applyFont="1" applyFill="1" applyBorder="1" applyAlignment="1">
      <alignment horizontal="center" vertical="top" wrapText="1"/>
    </xf>
    <xf numFmtId="0" fontId="177" fillId="84" borderId="13" xfId="0" applyFont="1" applyFill="1" applyBorder="1" applyAlignment="1">
      <alignment horizontal="center" vertical="center"/>
    </xf>
    <xf numFmtId="0" fontId="177" fillId="84" borderId="16" xfId="0" applyFont="1" applyFill="1" applyBorder="1" applyAlignment="1">
      <alignment horizontal="center" vertical="center"/>
    </xf>
    <xf numFmtId="0" fontId="177" fillId="84" borderId="11" xfId="0" applyFont="1" applyFill="1" applyBorder="1" applyAlignment="1">
      <alignment horizontal="center" vertical="center"/>
    </xf>
    <xf numFmtId="0" fontId="51" fillId="26" borderId="13" xfId="0" applyFont="1" applyFill="1" applyBorder="1" applyAlignment="1">
      <alignment horizontal="center" vertical="center"/>
    </xf>
    <xf numFmtId="0" fontId="51" fillId="26" borderId="16" xfId="0" applyFont="1" applyFill="1" applyBorder="1" applyAlignment="1">
      <alignment horizontal="center" vertical="center"/>
    </xf>
    <xf numFmtId="0" fontId="51" fillId="26" borderId="11" xfId="0" applyFont="1" applyFill="1" applyBorder="1" applyAlignment="1">
      <alignment horizontal="center" vertical="center"/>
    </xf>
    <xf numFmtId="0" fontId="193" fillId="34" borderId="13" xfId="0" applyFont="1" applyFill="1" applyBorder="1" applyAlignment="1">
      <alignment horizontal="center" wrapText="1"/>
    </xf>
    <xf numFmtId="0" fontId="193" fillId="34" borderId="16" xfId="0" applyFont="1" applyFill="1" applyBorder="1" applyAlignment="1">
      <alignment horizontal="center" wrapText="1"/>
    </xf>
    <xf numFmtId="0" fontId="193" fillId="34" borderId="11" xfId="0" applyFont="1" applyFill="1" applyBorder="1" applyAlignment="1">
      <alignment horizontal="center" wrapText="1"/>
    </xf>
    <xf numFmtId="0" fontId="57" fillId="78" borderId="16" xfId="0" applyFont="1" applyFill="1" applyBorder="1" applyAlignment="1" applyProtection="1">
      <alignment horizontal="justify" vertical="center" wrapText="1"/>
    </xf>
    <xf numFmtId="0" fontId="57" fillId="78" borderId="11" xfId="0" applyFont="1" applyFill="1" applyBorder="1" applyAlignment="1" applyProtection="1">
      <alignment horizontal="justify" vertical="center" wrapText="1"/>
    </xf>
    <xf numFmtId="0" fontId="39" fillId="0" borderId="13" xfId="0" applyFont="1" applyBorder="1" applyAlignment="1" applyProtection="1">
      <alignment horizontal="left" wrapText="1"/>
    </xf>
    <xf numFmtId="0" fontId="39" fillId="0" borderId="16" xfId="0" applyFont="1" applyBorder="1" applyAlignment="1" applyProtection="1">
      <alignment horizontal="left" wrapText="1"/>
    </xf>
    <xf numFmtId="0" fontId="39" fillId="0" borderId="11" xfId="0" applyFont="1" applyBorder="1" applyAlignment="1" applyProtection="1">
      <alignment horizontal="left" wrapText="1"/>
    </xf>
    <xf numFmtId="0" fontId="39" fillId="0" borderId="13" xfId="0" applyFont="1" applyBorder="1" applyAlignment="1" applyProtection="1">
      <alignment horizontal="left" vertical="center" wrapText="1"/>
    </xf>
    <xf numFmtId="0" fontId="39" fillId="0" borderId="16" xfId="0" applyFont="1" applyBorder="1" applyAlignment="1" applyProtection="1">
      <alignment horizontal="left" vertical="center" wrapText="1"/>
    </xf>
    <xf numFmtId="0" fontId="39" fillId="0" borderId="11" xfId="0" applyFont="1" applyBorder="1" applyAlignment="1" applyProtection="1">
      <alignment horizontal="left" vertical="center" wrapText="1"/>
    </xf>
    <xf numFmtId="0" fontId="57" fillId="34" borderId="11" xfId="0" applyFont="1" applyFill="1" applyBorder="1" applyAlignment="1" applyProtection="1">
      <alignment horizontal="left" vertical="center" wrapText="1"/>
    </xf>
    <xf numFmtId="0" fontId="57" fillId="34" borderId="57" xfId="0" applyFont="1" applyFill="1" applyBorder="1" applyAlignment="1" applyProtection="1">
      <alignment horizontal="left" vertical="center" wrapText="1"/>
    </xf>
    <xf numFmtId="0" fontId="39" fillId="78" borderId="16" xfId="0" applyFont="1" applyFill="1" applyBorder="1" applyAlignment="1" applyProtection="1">
      <alignment horizontal="center" wrapText="1"/>
    </xf>
    <xf numFmtId="0" fontId="39" fillId="78" borderId="11" xfId="0" applyFont="1" applyFill="1" applyBorder="1" applyAlignment="1" applyProtection="1">
      <alignment horizontal="center" wrapText="1"/>
    </xf>
    <xf numFmtId="0" fontId="57" fillId="78" borderId="57" xfId="0" applyFont="1" applyFill="1" applyBorder="1" applyAlignment="1" applyProtection="1">
      <alignment horizontal="justify" vertical="center" wrapText="1"/>
    </xf>
    <xf numFmtId="0" fontId="0" fillId="78" borderId="16" xfId="0" applyFill="1" applyBorder="1" applyAlignment="1" applyProtection="1">
      <alignment horizontal="center"/>
    </xf>
    <xf numFmtId="0" fontId="0" fillId="78" borderId="11" xfId="0" applyFill="1" applyBorder="1" applyAlignment="1" applyProtection="1">
      <alignment horizontal="center"/>
    </xf>
    <xf numFmtId="0" fontId="57" fillId="78" borderId="13" xfId="0" applyFont="1" applyFill="1" applyBorder="1" applyAlignment="1" applyProtection="1">
      <alignment horizontal="left" vertical="center" wrapText="1"/>
    </xf>
    <xf numFmtId="0" fontId="57" fillId="78" borderId="16" xfId="0" applyFont="1" applyFill="1" applyBorder="1" applyAlignment="1" applyProtection="1">
      <alignment horizontal="left" vertical="center" wrapText="1"/>
    </xf>
    <xf numFmtId="0" fontId="57" fillId="78" borderId="11" xfId="0" applyFont="1" applyFill="1" applyBorder="1" applyAlignment="1" applyProtection="1">
      <alignment horizontal="left" vertical="center" wrapText="1"/>
    </xf>
    <xf numFmtId="0" fontId="57" fillId="78" borderId="16" xfId="0" applyFont="1" applyFill="1" applyBorder="1" applyAlignment="1" applyProtection="1">
      <alignment horizontal="left" wrapText="1"/>
    </xf>
    <xf numFmtId="0" fontId="57" fillId="78" borderId="90" xfId="0" applyFont="1" applyFill="1" applyBorder="1" applyAlignment="1" applyProtection="1">
      <alignment horizontal="left" wrapText="1"/>
    </xf>
    <xf numFmtId="0" fontId="39" fillId="78" borderId="16" xfId="0" applyFont="1" applyFill="1" applyBorder="1" applyAlignment="1" applyProtection="1">
      <alignment horizontal="justify" vertical="center" wrapText="1"/>
    </xf>
    <xf numFmtId="0" fontId="39" fillId="78" borderId="11" xfId="0" applyFont="1" applyFill="1" applyBorder="1" applyAlignment="1" applyProtection="1">
      <alignment horizontal="justify" vertical="center" wrapText="1"/>
    </xf>
    <xf numFmtId="0" fontId="57" fillId="0" borderId="38" xfId="0" applyFont="1" applyBorder="1" applyAlignment="1" applyProtection="1">
      <alignment horizontal="center" wrapText="1"/>
    </xf>
    <xf numFmtId="0" fontId="57" fillId="0" borderId="39" xfId="0" applyFont="1" applyBorder="1" applyAlignment="1" applyProtection="1">
      <alignment horizontal="center" wrapText="1"/>
    </xf>
    <xf numFmtId="0" fontId="57" fillId="0" borderId="0" xfId="0" applyFont="1" applyAlignment="1" applyProtection="1">
      <alignment horizontal="center" wrapText="1"/>
    </xf>
    <xf numFmtId="0" fontId="57" fillId="0" borderId="60" xfId="0" applyFont="1" applyBorder="1" applyAlignment="1" applyProtection="1">
      <alignment horizontal="center" wrapText="1"/>
    </xf>
    <xf numFmtId="0" fontId="57" fillId="78" borderId="11" xfId="0" applyFont="1" applyFill="1" applyBorder="1" applyAlignment="1" applyProtection="1">
      <alignment horizontal="left" wrapText="1"/>
    </xf>
    <xf numFmtId="0" fontId="57" fillId="78" borderId="57" xfId="0" applyFont="1" applyFill="1" applyBorder="1" applyAlignment="1" applyProtection="1">
      <alignment horizontal="left" wrapText="1"/>
    </xf>
    <xf numFmtId="0" fontId="159" fillId="0" borderId="40" xfId="0" applyFont="1" applyBorder="1" applyAlignment="1" applyProtection="1">
      <alignment horizontal="center" vertical="center"/>
    </xf>
    <xf numFmtId="0" fontId="159" fillId="0" borderId="41" xfId="0" applyFont="1" applyBorder="1" applyAlignment="1" applyProtection="1">
      <alignment horizontal="center" vertical="center"/>
    </xf>
    <xf numFmtId="0" fontId="159" fillId="0" borderId="16" xfId="0" applyFont="1" applyBorder="1" applyAlignment="1" applyProtection="1">
      <alignment horizontal="center" vertical="center"/>
    </xf>
    <xf numFmtId="0" fontId="159" fillId="0" borderId="11" xfId="0" applyFont="1" applyBorder="1" applyAlignment="1" applyProtection="1">
      <alignment horizontal="center" vertical="center"/>
    </xf>
    <xf numFmtId="0" fontId="57" fillId="34" borderId="13" xfId="0" applyFont="1" applyFill="1" applyBorder="1" applyAlignment="1" applyProtection="1">
      <alignment horizontal="justify" vertical="center" wrapText="1"/>
    </xf>
    <xf numFmtId="0" fontId="57" fillId="34" borderId="16" xfId="0" applyFont="1" applyFill="1" applyBorder="1" applyAlignment="1" applyProtection="1">
      <alignment horizontal="justify" vertical="center" wrapText="1"/>
    </xf>
    <xf numFmtId="0" fontId="57" fillId="34" borderId="11" xfId="0" applyFont="1" applyFill="1" applyBorder="1" applyAlignment="1" applyProtection="1">
      <alignment horizontal="justify" vertical="center" wrapText="1"/>
    </xf>
    <xf numFmtId="0" fontId="48" fillId="0" borderId="95" xfId="0" applyFont="1" applyBorder="1" applyAlignment="1" applyProtection="1">
      <alignment horizontal="center" vertical="center" wrapText="1"/>
    </xf>
    <xf numFmtId="0" fontId="48" fillId="0" borderId="96" xfId="0" applyFont="1" applyBorder="1" applyAlignment="1" applyProtection="1">
      <alignment horizontal="center" vertical="center" wrapText="1"/>
    </xf>
    <xf numFmtId="0" fontId="48" fillId="0" borderId="92" xfId="0" applyFont="1" applyBorder="1" applyAlignment="1" applyProtection="1">
      <alignment horizontal="center" vertical="center" wrapText="1"/>
    </xf>
    <xf numFmtId="0" fontId="39" fillId="0" borderId="15" xfId="0" applyFont="1" applyBorder="1" applyAlignment="1" applyProtection="1">
      <alignment horizontal="center" vertical="center"/>
    </xf>
    <xf numFmtId="0" fontId="39" fillId="0" borderId="60" xfId="0" applyFont="1" applyBorder="1" applyAlignment="1" applyProtection="1">
      <alignment horizontal="center" vertical="center"/>
    </xf>
    <xf numFmtId="0" fontId="39" fillId="0" borderId="40" xfId="0" applyFont="1" applyBorder="1" applyAlignment="1" applyProtection="1">
      <alignment horizontal="center" vertical="center"/>
    </xf>
    <xf numFmtId="0" fontId="39" fillId="0" borderId="42" xfId="0" applyFont="1" applyBorder="1" applyAlignment="1" applyProtection="1">
      <alignment horizontal="center" vertical="center"/>
    </xf>
    <xf numFmtId="0" fontId="39" fillId="0" borderId="87" xfId="0" applyFont="1" applyBorder="1" applyAlignment="1" applyProtection="1">
      <alignment horizontal="center" wrapText="1"/>
    </xf>
    <xf numFmtId="0" fontId="39" fillId="0" borderId="68" xfId="0" applyFont="1" applyBorder="1" applyAlignment="1" applyProtection="1">
      <alignment horizontal="center"/>
    </xf>
    <xf numFmtId="0" fontId="48" fillId="0" borderId="97" xfId="0" applyFont="1" applyBorder="1" applyAlignment="1" applyProtection="1">
      <alignment horizontal="center" vertical="center"/>
    </xf>
    <xf numFmtId="0" fontId="48" fillId="0" borderId="98" xfId="0" applyFont="1" applyBorder="1" applyAlignment="1" applyProtection="1">
      <alignment horizontal="center" vertical="center"/>
    </xf>
    <xf numFmtId="0" fontId="48" fillId="0" borderId="99" xfId="0" applyFont="1" applyBorder="1" applyAlignment="1" applyProtection="1">
      <alignment horizontal="center" vertical="center"/>
    </xf>
    <xf numFmtId="0" fontId="128" fillId="73" borderId="67" xfId="0" applyFont="1" applyFill="1" applyBorder="1" applyAlignment="1" applyProtection="1">
      <alignment horizontal="center" vertical="center" wrapText="1"/>
    </xf>
    <xf numFmtId="0" fontId="128" fillId="73" borderId="87" xfId="0" applyFont="1" applyFill="1" applyBorder="1" applyAlignment="1" applyProtection="1">
      <alignment horizontal="center" vertical="center" wrapText="1"/>
    </xf>
    <xf numFmtId="0" fontId="128" fillId="73" borderId="68" xfId="0" applyFont="1" applyFill="1" applyBorder="1" applyAlignment="1" applyProtection="1">
      <alignment horizontal="center" vertical="center" wrapText="1"/>
    </xf>
    <xf numFmtId="0" fontId="57" fillId="78" borderId="67" xfId="0" applyFont="1" applyFill="1" applyBorder="1" applyAlignment="1" applyProtection="1">
      <alignment horizontal="center" vertical="center" wrapText="1"/>
    </xf>
    <xf numFmtId="0" fontId="57" fillId="78" borderId="87" xfId="0" applyFont="1" applyFill="1" applyBorder="1" applyAlignment="1" applyProtection="1">
      <alignment horizontal="center" vertical="center" wrapText="1"/>
    </xf>
    <xf numFmtId="0" fontId="57" fillId="78" borderId="68" xfId="0" applyFont="1" applyFill="1" applyBorder="1" applyAlignment="1" applyProtection="1">
      <alignment horizontal="center" vertical="center" wrapText="1"/>
    </xf>
    <xf numFmtId="0" fontId="40" fillId="0" borderId="38" xfId="682" applyFont="1" applyBorder="1" applyAlignment="1" applyProtection="1">
      <alignment horizontal="justify" vertical="justify" wrapText="1"/>
    </xf>
    <xf numFmtId="0" fontId="40" fillId="0" borderId="39" xfId="682" applyFont="1" applyBorder="1" applyAlignment="1" applyProtection="1">
      <alignment horizontal="justify" vertical="justify" wrapText="1"/>
    </xf>
    <xf numFmtId="0" fontId="40" fillId="0" borderId="41" xfId="682" applyFont="1" applyBorder="1" applyAlignment="1" applyProtection="1">
      <alignment horizontal="justify" vertical="justify" wrapText="1"/>
    </xf>
    <xf numFmtId="0" fontId="40" fillId="0" borderId="42" xfId="682" applyFont="1" applyBorder="1" applyAlignment="1" applyProtection="1">
      <alignment horizontal="justify" vertical="justify" wrapText="1"/>
    </xf>
    <xf numFmtId="0" fontId="0" fillId="0" borderId="67"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37" fillId="78" borderId="67" xfId="0" applyFont="1" applyFill="1" applyBorder="1" applyAlignment="1" applyProtection="1">
      <alignment horizontal="justify" vertical="center" wrapText="1"/>
    </xf>
    <xf numFmtId="0" fontId="37" fillId="78" borderId="68" xfId="0" applyFont="1" applyFill="1" applyBorder="1" applyAlignment="1" applyProtection="1">
      <alignment horizontal="justify" vertical="center" wrapText="1"/>
    </xf>
    <xf numFmtId="0" fontId="57" fillId="34" borderId="16" xfId="0" applyFont="1" applyFill="1" applyBorder="1" applyAlignment="1" applyProtection="1">
      <alignment horizontal="left" vertical="center" wrapText="1"/>
    </xf>
    <xf numFmtId="0" fontId="39" fillId="78" borderId="57" xfId="0" applyFont="1" applyFill="1" applyBorder="1" applyAlignment="1" applyProtection="1">
      <alignment horizontal="justify" vertical="center" wrapText="1"/>
    </xf>
    <xf numFmtId="0" fontId="39" fillId="0" borderId="16" xfId="0" applyFont="1" applyBorder="1" applyAlignment="1" applyProtection="1">
      <alignment horizontal="center" wrapText="1"/>
    </xf>
    <xf numFmtId="0" fontId="39" fillId="0" borderId="11" xfId="0" applyFont="1" applyBorder="1" applyAlignment="1" applyProtection="1">
      <alignment horizontal="center" wrapText="1"/>
    </xf>
    <xf numFmtId="0" fontId="57" fillId="0" borderId="11" xfId="0" applyFont="1" applyFill="1" applyBorder="1" applyAlignment="1" applyProtection="1">
      <alignment horizontal="justify" vertical="center" wrapText="1"/>
    </xf>
    <xf numFmtId="0" fontId="57" fillId="0" borderId="57" xfId="0" applyFont="1" applyFill="1" applyBorder="1" applyAlignment="1" applyProtection="1">
      <alignment horizontal="justify" vertical="center" wrapText="1"/>
    </xf>
    <xf numFmtId="0" fontId="39" fillId="0" borderId="0" xfId="682" applyFont="1" applyAlignment="1">
      <alignment horizontal="justify" vertical="justify" wrapText="1"/>
    </xf>
    <xf numFmtId="0" fontId="57" fillId="27" borderId="0" xfId="682" applyFont="1" applyFill="1" applyAlignment="1">
      <alignment horizontal="center" vertical="center" wrapText="1"/>
    </xf>
    <xf numFmtId="0" fontId="44" fillId="0" borderId="37" xfId="26000" applyFont="1" applyBorder="1" applyAlignment="1" applyProtection="1">
      <alignment horizontal="left" vertical="top" wrapText="1"/>
      <protection locked="0"/>
    </xf>
    <xf numFmtId="0" fontId="44" fillId="0" borderId="38" xfId="26000" applyFont="1" applyBorder="1" applyAlignment="1" applyProtection="1">
      <alignment horizontal="left" vertical="top" wrapText="1"/>
      <protection locked="0"/>
    </xf>
    <xf numFmtId="0" fontId="44" fillId="0" borderId="39" xfId="26000" applyFont="1" applyBorder="1" applyAlignment="1" applyProtection="1">
      <alignment horizontal="left" vertical="top" wrapText="1"/>
      <protection locked="0"/>
    </xf>
    <xf numFmtId="0" fontId="44" fillId="0" borderId="15" xfId="26000" applyFont="1" applyBorder="1" applyAlignment="1" applyProtection="1">
      <alignment horizontal="left" vertical="top" wrapText="1"/>
      <protection locked="0"/>
    </xf>
    <xf numFmtId="0" fontId="44" fillId="0" borderId="0" xfId="26000" applyFont="1" applyAlignment="1" applyProtection="1">
      <alignment horizontal="left" vertical="top" wrapText="1"/>
      <protection locked="0"/>
    </xf>
    <xf numFmtId="0" fontId="44" fillId="0" borderId="60" xfId="26000" applyFont="1" applyBorder="1" applyAlignment="1" applyProtection="1">
      <alignment horizontal="left" vertical="top" wrapText="1"/>
      <protection locked="0"/>
    </xf>
    <xf numFmtId="0" fontId="44" fillId="0" borderId="40" xfId="26000" applyFont="1" applyBorder="1" applyAlignment="1" applyProtection="1">
      <alignment horizontal="left" vertical="top" wrapText="1"/>
      <protection locked="0"/>
    </xf>
    <xf numFmtId="0" fontId="44" fillId="0" borderId="41" xfId="26000" applyFont="1" applyBorder="1" applyAlignment="1" applyProtection="1">
      <alignment horizontal="left" vertical="top" wrapText="1"/>
      <protection locked="0"/>
    </xf>
    <xf numFmtId="0" fontId="44" fillId="0" borderId="42" xfId="26000" applyFont="1" applyBorder="1" applyAlignment="1" applyProtection="1">
      <alignment horizontal="left" vertical="top" wrapText="1"/>
      <protection locked="0"/>
    </xf>
    <xf numFmtId="0" fontId="57" fillId="0" borderId="0" xfId="26000" applyFont="1" applyAlignment="1">
      <alignment horizontal="center" vertical="top"/>
    </xf>
    <xf numFmtId="0" fontId="57" fillId="0" borderId="0" xfId="26000" applyFont="1" applyAlignment="1">
      <alignment horizontal="center" vertical="top" wrapText="1"/>
    </xf>
    <xf numFmtId="0" fontId="130" fillId="0" borderId="69" xfId="26000" applyFont="1" applyBorder="1" applyAlignment="1">
      <alignment horizontal="left" vertical="top" wrapText="1"/>
    </xf>
    <xf numFmtId="0" fontId="130" fillId="0" borderId="70" xfId="26000" applyFont="1" applyBorder="1" applyAlignment="1">
      <alignment horizontal="left" vertical="top" wrapText="1"/>
    </xf>
    <xf numFmtId="0" fontId="130" fillId="0" borderId="71" xfId="26000" applyFont="1" applyBorder="1" applyAlignment="1">
      <alignment horizontal="left" vertical="top" wrapText="1"/>
    </xf>
    <xf numFmtId="0" fontId="130" fillId="0" borderId="22" xfId="26000" applyFont="1" applyBorder="1" applyAlignment="1">
      <alignment horizontal="left" vertical="top" wrapText="1"/>
    </xf>
    <xf numFmtId="0" fontId="130" fillId="0" borderId="0" xfId="26000" applyFont="1" applyBorder="1" applyAlignment="1">
      <alignment horizontal="left" vertical="top" wrapText="1"/>
    </xf>
    <xf numFmtId="0" fontId="130" fillId="0" borderId="56" xfId="26000" applyFont="1" applyBorder="1" applyAlignment="1">
      <alignment horizontal="left" vertical="top" wrapText="1"/>
    </xf>
    <xf numFmtId="0" fontId="130" fillId="0" borderId="72" xfId="26000" applyFont="1" applyBorder="1" applyAlignment="1">
      <alignment horizontal="left" vertical="top" wrapText="1"/>
    </xf>
    <xf numFmtId="0" fontId="130" fillId="0" borderId="17" xfId="26000" applyFont="1" applyBorder="1" applyAlignment="1">
      <alignment horizontal="left" vertical="top" wrapText="1"/>
    </xf>
    <xf numFmtId="0" fontId="130" fillId="0" borderId="73" xfId="26000" applyFont="1" applyBorder="1" applyAlignment="1">
      <alignment horizontal="left" vertical="top" wrapText="1"/>
    </xf>
    <xf numFmtId="0" fontId="130" fillId="0" borderId="0" xfId="26000" applyFont="1" applyAlignment="1">
      <alignment horizontal="left" vertical="top" wrapText="1"/>
    </xf>
    <xf numFmtId="0" fontId="57" fillId="0" borderId="41" xfId="26000" applyFont="1" applyBorder="1" applyAlignment="1">
      <alignment horizontal="left"/>
    </xf>
  </cellXfs>
  <cellStyles count="32026">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18" xfId="31725" xr:uid="{5A735BE1-EE31-4062-BA14-CEB426306F19}"/>
    <cellStyle name="Comma 18 2" xfId="32023" xr:uid="{AA8B7EEC-41A8-47AC-B764-E6867CEAAA1F}"/>
    <cellStyle name="Comma 2" xfId="445" xr:uid="{00000000-0005-0000-0000-0000C6010000}"/>
    <cellStyle name="Comma 2 2" xfId="446" xr:uid="{00000000-0005-0000-0000-0000C7010000}"/>
    <cellStyle name="Comma 2 2 2" xfId="31730" xr:uid="{C33B1854-5409-47E0-9622-295106621573}"/>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2 6" xfId="31729" xr:uid="{B55E41AA-D6D3-4F04-B263-B9443017BE0A}"/>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3 6" xfId="31728"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11" xfId="31726" xr:uid="{50C09DAD-7BB7-4B5C-917D-B69F3EB82B30}"/>
    <cellStyle name="Currency 11 2" xfId="32024" xr:uid="{6BE0BF21-9BDE-45C1-AC91-84D8CFBDE3FE}"/>
    <cellStyle name="Currency 12" xfId="31727"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2 6" xfId="31733" xr:uid="{B1431204-32C2-4525-9311-376EB91B9E68}"/>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2 7" xfId="31732" xr:uid="{64F74D17-D806-4C43-B557-ADB798BEED05}"/>
    <cellStyle name="Currency 3" xfId="551" xr:uid="{00000000-0005-0000-0000-000048030000}"/>
    <cellStyle name="Currency 3 10" xfId="30620" xr:uid="{CC98C09A-FB90-4F09-8713-CE67BE1C4FA6}"/>
    <cellStyle name="Currency 3 11" xfId="30918" xr:uid="{AC79C766-96F4-4BB0-9D53-CAD075CD5FB9}"/>
    <cellStyle name="Currency 3 12" xfId="31731" xr:uid="{BBB3409B-21CA-4FEF-99F6-CD30D3F98184}"/>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5 5" xfId="32004" xr:uid="{8377B691-2AFC-443B-8FCA-8EB296436BAE}"/>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7 8" xfId="31987" xr:uid="{B489DFF5-F3EE-4CCC-A360-9EC5DC833894}"/>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2 2" xfId="32021" xr:uid="{765B09F7-C3B9-41DD-9C24-5666249D136A}"/>
    <cellStyle name="Normal 23 3" xfId="31722" xr:uid="{23061F0C-4409-4E5F-A960-26EABC21E703}"/>
    <cellStyle name="Normal 23 4" xfId="32017" xr:uid="{468AB7C1-4BEE-44C9-8B86-5065562C55FA}"/>
    <cellStyle name="Normal 24" xfId="31724" xr:uid="{4AD80940-F9FE-4312-92C2-BB9034C34D3B}"/>
    <cellStyle name="Normal 24 2" xfId="32022" xr:uid="{89DE89C1-34EC-490A-8341-093FB1E461B4}"/>
    <cellStyle name="Normal 25" xfId="30098" xr:uid="{07506169-A6FD-44A0-8C52-1A1EF451F172}"/>
    <cellStyle name="Normal 26" xfId="30103" xr:uid="{7027CCDA-B9FD-43DE-A40A-182DF76F28F4}"/>
    <cellStyle name="Normal 27" xfId="31723" xr:uid="{4196B5BA-5EA7-4D8D-9D66-857889BD5159}"/>
    <cellStyle name="Normal 28" xfId="32025" xr:uid="{F9D2FC86-2EC0-4BC4-9CA1-1693550E0CE1}"/>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4 3 5" xfId="31870" xr:uid="{C61C880B-D90D-409E-986D-7EFE86A94CD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3 3 5" xfId="31871" xr:uid="{36337922-F1B8-43FE-89D9-33A4E0A700EA}"/>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5 5" xfId="31809" xr:uid="{7A8BF9CE-A0AF-4AF4-91F4-02CA6D3FC1D7}"/>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6 5" xfId="31931" xr:uid="{9B487A6D-6B05-4F07-839D-A99EB2D5F8AC}"/>
    <cellStyle name="Normal 3 2 3 3 2 3 7" xfId="30118" xr:uid="{3A8EA0EB-6553-4DE0-BA6D-E554B6EEBC52}"/>
    <cellStyle name="Normal 3 2 3 3 2 3 7 2" xfId="30479" xr:uid="{12261BA5-6EBE-49C8-858C-4433B97E2B8F}"/>
    <cellStyle name="Normal 3 2 3 3 2 3 8" xfId="31752" xr:uid="{69E5398B-AE39-4ABD-B746-7A6A37786D71}"/>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3 5" xfId="32005" xr:uid="{AF9F9127-55D5-4F95-9D50-B99CB789E817}"/>
    <cellStyle name="Normal 3 2 3 3 2 4 3 4" xfId="30354" xr:uid="{93657840-58F4-4379-9A8A-0046F497FB51}"/>
    <cellStyle name="Normal 3 2 3 3 2 4 3 4 2" xfId="31696" xr:uid="{A40DE0E8-AD45-4E9B-94C0-51490D3093FE}"/>
    <cellStyle name="Normal 3 2 3 3 2 4 3 5" xfId="31988" xr:uid="{15D7EF1A-FCD0-454A-B1AA-E84DD50EE774}"/>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5 5" xfId="31808" xr:uid="{178690E6-34A2-4393-B592-31E0DF3C1227}"/>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6 5" xfId="31930" xr:uid="{B73035D1-2067-401B-A00F-AFA787D13CFA}"/>
    <cellStyle name="Normal 3 2 3 3 2 7" xfId="30117" xr:uid="{019B4B8F-7996-40B8-8487-A11E7446390C}"/>
    <cellStyle name="Normal 3 2 3 3 2 7 2" xfId="30478" xr:uid="{A9A1F17C-F870-4AC2-99F8-4C92612CB29A}"/>
    <cellStyle name="Normal 3 2 3 3 2 8" xfId="31751" xr:uid="{225D7D5A-C0D2-4CCD-9EFC-161282D45CC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3 5" xfId="31872" xr:uid="{16662624-3757-45D7-917F-C0AB933E36AC}"/>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4 5" xfId="31811" xr:uid="{6DDB7F6F-104A-41B1-A645-952E20BC8075}"/>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5 5" xfId="31810" xr:uid="{0135E4C7-4A36-4A8B-A0C0-D404DF1C677A}"/>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6 5" xfId="31932" xr:uid="{7DD74C05-B182-49F2-B496-B67D994D90D1}"/>
    <cellStyle name="Normal 3 2 3 3 4 7" xfId="30119" xr:uid="{21708935-4338-4B04-A5B4-2B12A5C766F5}"/>
    <cellStyle name="Normal 3 2 3 3 4 7 2" xfId="30480" xr:uid="{F378E57F-2EEC-4F55-AB97-A5FA15FB5A75}"/>
    <cellStyle name="Normal 3 2 3 3 4 8" xfId="31753" xr:uid="{B6B99ECF-27B7-4452-8592-01D11A877DA9}"/>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3 6" xfId="31873" xr:uid="{285638F6-359F-43E0-B0FA-229C700DA1DE}"/>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3 3 5" xfId="31874" xr:uid="{383A3E76-D426-4C8C-924F-5A95A0836014}"/>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5 5" xfId="31813" xr:uid="{C0EC41AE-F027-4EAC-B2AF-195D477BE1A7}"/>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6 5" xfId="31934" xr:uid="{E03EEF01-1839-44E6-AD63-1C456D0962DD}"/>
    <cellStyle name="Normal 3 2 3 4 3 7" xfId="30121" xr:uid="{B13A17FC-0920-42D9-BFD0-704A408A0A4C}"/>
    <cellStyle name="Normal 3 2 3 4 3 7 2" xfId="30482" xr:uid="{10C38449-8AAA-4472-A41E-21A90DBA3EF1}"/>
    <cellStyle name="Normal 3 2 3 4 3 8" xfId="31755" xr:uid="{9272ABCD-863B-4473-80D4-56123FB3553F}"/>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4 3 5" xfId="31875" xr:uid="{D1969DFF-FD25-47BB-8FE0-91FB97DD3A5E}"/>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5 5" xfId="31812" xr:uid="{5460A817-A72C-4666-9CEA-0FD1254CA438}"/>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6 5" xfId="31933" xr:uid="{DA36F331-6C62-4D5F-BA3C-170EE4CAD920}"/>
    <cellStyle name="Normal 3 2 3 4 7" xfId="30120" xr:uid="{2902EA16-525C-4490-96D7-08F0557F0425}"/>
    <cellStyle name="Normal 3 2 3 4 7 2" xfId="30481" xr:uid="{DF6E23B2-6945-41B0-8306-2F702DBA91A9}"/>
    <cellStyle name="Normal 3 2 3 4 8" xfId="31754" xr:uid="{B4D2B4EA-080E-4556-BD60-5C1D2BE5D3E3}"/>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5 5" xfId="31800" xr:uid="{4C93E45A-7811-489F-9771-78A6D448C1C8}"/>
    <cellStyle name="Normal 3 2 3 6" xfId="30112" xr:uid="{2DA27080-57C7-488E-9E66-228C66F3BB6F}"/>
    <cellStyle name="Normal 3 2 3 6 2" xfId="30471" xr:uid="{CBE48B84-9220-4165-B20B-487010328F48}"/>
    <cellStyle name="Normal 3 2 3 7" xfId="31744" xr:uid="{0824D4CF-5757-4ADE-8178-DAAE89865E41}"/>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3 3 5" xfId="31876" xr:uid="{4CC266E9-1346-48DA-90DE-94B12A5F54AD}"/>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5 5" xfId="31815" xr:uid="{EE17CC6F-D84C-454B-B3FF-8CA0A03963CA}"/>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6 5" xfId="31936" xr:uid="{32A90817-92D4-4099-B7D3-7EACDE6715B3}"/>
    <cellStyle name="Normal 3 2 4 3 7" xfId="30123" xr:uid="{2FC8C8CB-77C8-4CE3-9500-8BBF0E8D3D67}"/>
    <cellStyle name="Normal 3 2 4 3 7 2" xfId="30485" xr:uid="{FF9CD143-3DC5-4E78-9669-CDD5E69991DD}"/>
    <cellStyle name="Normal 3 2 4 3 8" xfId="31757" xr:uid="{3D3B0868-6B1D-44B7-9E63-7E2F85B968DE}"/>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3 5" xfId="32006" xr:uid="{4C578D2D-4D41-4FBF-B8DD-3CC7AFC62900}"/>
    <cellStyle name="Normal 3 2 4 4 2 4" xfId="30355" xr:uid="{C34059E2-DD63-4FD3-8EEB-54B190A38F45}"/>
    <cellStyle name="Normal 3 2 4 4 2 4 2" xfId="31697" xr:uid="{6DCD7FB8-B5FD-4C77-BBC6-EAED650E4CF3}"/>
    <cellStyle name="Normal 3 2 4 4 2 5" xfId="31989" xr:uid="{1497EB42-67E3-4B2E-B704-ABF78EAC0BFC}"/>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5 5" xfId="31814" xr:uid="{73C662E3-E227-488D-BAA7-C2861390EA9D}"/>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6 5" xfId="31935" xr:uid="{EE327EAE-2786-41D7-AAC9-789B35ED027F}"/>
    <cellStyle name="Normal 3 2 4 7" xfId="30122" xr:uid="{2CF31ED3-BF8A-4420-A35A-63A9374EE9CB}"/>
    <cellStyle name="Normal 3 2 4 7 2" xfId="30484" xr:uid="{E8D1DD0B-859F-4702-9615-4F14D8E78C95}"/>
    <cellStyle name="Normal 3 2 4 8" xfId="31756" xr:uid="{3BD5DD47-EE0D-4D26-9979-B292E5AEB09B}"/>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3 5" xfId="32007" xr:uid="{605697BD-0C7F-4E7F-9D2A-0112DEFD24E5}"/>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5 6" xfId="31990" xr:uid="{1A6030CE-991E-4462-A676-1578F405406D}"/>
    <cellStyle name="Normal 3 2 6" xfId="30109" xr:uid="{E75C1CB2-D09F-4E20-9707-91B0AD896C89}"/>
    <cellStyle name="Normal 3 2 6 2" xfId="31495" xr:uid="{75618FDA-0DC1-449E-A37B-B4C7EE151DBA}"/>
    <cellStyle name="Normal 3 2 7" xfId="31737" xr:uid="{DAF1D4CE-0E25-49CE-8219-6D8D988E1EAC}"/>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10" xfId="31740" xr:uid="{735DA6F3-F532-43DB-9D29-5AABCEFFA1CE}"/>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3 3 5" xfId="31877" xr:uid="{2E43C4F1-5209-48AA-B572-DA2C3C124CB7}"/>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5 5" xfId="31817" xr:uid="{2E1920E5-CEDA-4880-814E-F3E326863B8F}"/>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6 5" xfId="31938" xr:uid="{87A054C9-EC04-4351-9EF1-9720A2A3B28F}"/>
    <cellStyle name="Normal 5 2 2 3 3 2 3 7" xfId="30125" xr:uid="{DAC80EA3-45F7-49F1-A349-239CC3856162}"/>
    <cellStyle name="Normal 5 2 2 3 3 2 3 7 2" xfId="30487" xr:uid="{207BB286-D44A-4530-97B5-78C32E75393D}"/>
    <cellStyle name="Normal 5 2 2 3 3 2 3 8" xfId="31759" xr:uid="{16374957-CF05-4205-977D-4B969739F384}"/>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3 5" xfId="32008" xr:uid="{BD7CA334-159E-4D42-B581-D27959C79388}"/>
    <cellStyle name="Normal 5 2 2 3 3 2 4 3 4" xfId="30357" xr:uid="{1C60EA9A-684E-4679-89C8-749CEAB253C5}"/>
    <cellStyle name="Normal 5 2 2 3 3 2 4 3 4 2" xfId="31699" xr:uid="{AD204089-4C71-4050-991D-38E2B324F7EB}"/>
    <cellStyle name="Normal 5 2 2 3 3 2 4 3 5" xfId="31991" xr:uid="{E0EC5735-4AE9-421B-99FB-C0381648EAE9}"/>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5 5" xfId="31816" xr:uid="{5E6DBADF-3E3F-472B-A3E7-13C93AE10668}"/>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6 5" xfId="31937" xr:uid="{9240F838-1B68-40D6-9ACE-917497A6D1C1}"/>
    <cellStyle name="Normal 5 2 2 3 3 2 7" xfId="30124" xr:uid="{16F6B502-50DE-40DF-90B1-0876CC1A1C94}"/>
    <cellStyle name="Normal 5 2 2 3 3 2 7 2" xfId="30486" xr:uid="{32F471BB-0723-4682-B1A0-F64159294218}"/>
    <cellStyle name="Normal 5 2 2 3 3 2 8" xfId="31758" xr:uid="{E5504B10-F7AF-4EC8-8FCB-5A92B398FBE4}"/>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3 5" xfId="31878" xr:uid="{BD64AEE5-6CA3-4187-8B37-E6F4870A7130}"/>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4 5" xfId="31819" xr:uid="{E4474D66-FE38-48E2-86FD-353F0A7837A7}"/>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5 5" xfId="31818" xr:uid="{2BBCE6A9-B46F-4B5D-A278-A5920307EB44}"/>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6 5" xfId="31939" xr:uid="{1A1C441C-30CE-4CB9-9C92-EDE4E3FAE21E}"/>
    <cellStyle name="Normal 5 2 2 3 3 4 7" xfId="30126" xr:uid="{703E38E7-8BA4-47CE-A103-8E02D7643E7A}"/>
    <cellStyle name="Normal 5 2 2 3 3 4 7 2" xfId="30488" xr:uid="{2C6C969A-844E-4616-8573-0FAFBA4D69CF}"/>
    <cellStyle name="Normal 5 2 2 3 3 4 8" xfId="31760" xr:uid="{53B414DA-F311-48B0-8473-61548E75524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3 6" xfId="31879" xr:uid="{AD299762-D62E-48F2-A298-0EEAB8649842}"/>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3 3 5" xfId="31880" xr:uid="{5F368C6F-F5CF-461F-BA3C-C5A7BC3D79FB}"/>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5 5" xfId="31821" xr:uid="{89504CC9-B044-4538-8115-79848BE3552E}"/>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6 5" xfId="31941" xr:uid="{E5DBA7E2-3A44-4CEE-965A-A75BF716B893}"/>
    <cellStyle name="Normal 5 2 2 3 4 3 7" xfId="30128" xr:uid="{902DB47F-C143-433C-8E02-ECCFBB8FA346}"/>
    <cellStyle name="Normal 5 2 2 3 4 3 7 2" xfId="30490" xr:uid="{56017849-602A-438E-96E0-4DE9B6F02764}"/>
    <cellStyle name="Normal 5 2 2 3 4 3 8" xfId="31762" xr:uid="{9D0AC439-C11C-4287-A27F-BAB9C894D3AA}"/>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4 3 5" xfId="31881" xr:uid="{4C41FAD7-5C7A-4589-B282-2779030A99DE}"/>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5 5" xfId="31820" xr:uid="{8DF821CB-A78C-498E-B597-1C93D93AFD4C}"/>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6 5" xfId="31940" xr:uid="{D2C4F953-1B75-4008-AE6F-38C4170A0D30}"/>
    <cellStyle name="Normal 5 2 2 3 4 7" xfId="30127" xr:uid="{920D9317-59AD-4444-9F3B-B0AB3DA1419C}"/>
    <cellStyle name="Normal 5 2 2 3 4 7 2" xfId="30489" xr:uid="{2D2D5388-0491-48DD-9BA0-7F231209010E}"/>
    <cellStyle name="Normal 5 2 2 3 4 8" xfId="31761" xr:uid="{921242F0-2EDD-4524-BA41-55813294BF21}"/>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5 5" xfId="31801" xr:uid="{6BE66918-6C91-4F9F-A5D2-EF2F1294EF6E}"/>
    <cellStyle name="Normal 5 2 2 3 6" xfId="30104" xr:uid="{93BD7124-346B-4FA7-9E75-822A18739E86}"/>
    <cellStyle name="Normal 5 2 2 3 6 2" xfId="30472" xr:uid="{B7FC6D84-3823-4E1F-9CD2-CD3763CCF30A}"/>
    <cellStyle name="Normal 5 2 2 3 7" xfId="31745" xr:uid="{057B4325-5EC6-42D9-9B2D-E352BE37FCC4}"/>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3 3 5" xfId="31882" xr:uid="{46E5480F-E29D-460A-9999-9AAA3602A104}"/>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5 5" xfId="31823" xr:uid="{B74CAEC4-3C70-4398-9709-39AFEC9236D9}"/>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6 5" xfId="31943" xr:uid="{C04D5001-5F62-4BB5-AD2B-507BC7A6138C}"/>
    <cellStyle name="Normal 5 2 2 4 3 7" xfId="30130" xr:uid="{BDE27110-9B13-48B7-8653-B497F720F538}"/>
    <cellStyle name="Normal 5 2 2 4 3 7 2" xfId="30493" xr:uid="{FD9D9EF5-F197-45A3-BC3A-5650DE888412}"/>
    <cellStyle name="Normal 5 2 2 4 3 8" xfId="31764" xr:uid="{8D74E39C-E9F8-4494-970C-42D42ACBF958}"/>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4 3 5" xfId="31883" xr:uid="{5A636884-E186-43AF-848D-40533DDDB79C}"/>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5 5" xfId="31822" xr:uid="{BAE36E74-43C4-4028-BD44-347BA43D80DD}"/>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6 5" xfId="31942" xr:uid="{241402A0-EC53-4140-B3CB-5A2E0E265C3E}"/>
    <cellStyle name="Normal 5 2 2 4 7" xfId="30129" xr:uid="{2236E3FF-3A86-4CD1-98F1-1886F111A065}"/>
    <cellStyle name="Normal 5 2 2 4 7 2" xfId="30492" xr:uid="{45FC10F0-4741-45B2-BDBE-913619A599F3}"/>
    <cellStyle name="Normal 5 2 2 4 8" xfId="31763" xr:uid="{AA7EB73C-BBDE-4608-9B4C-41CDE22B31DF}"/>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5 4" xfId="31992" xr:uid="{120DEC9F-9354-4688-A037-C84E42C97F21}"/>
    <cellStyle name="Normal 5 2 2 6" xfId="31499" xr:uid="{2BB411DD-5D15-4B7F-BAEC-F1A8EC41C4E3}"/>
    <cellStyle name="Normal 5 2 2 7" xfId="31741" xr:uid="{29AF3C1D-838A-492E-90FB-251697FC5BB9}"/>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3 3 5" xfId="31884" xr:uid="{F987242A-7FC3-4269-978F-5DE82990D9E8}"/>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5 5" xfId="31825" xr:uid="{FA92CFA6-C212-4156-99EE-6A03BE725958}"/>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6 5" xfId="31945" xr:uid="{10DE5A57-AF9B-426F-8DAA-58948AA20097}"/>
    <cellStyle name="Normal 5 2 4 3 2 3 7" xfId="30132" xr:uid="{83341974-E50B-44D0-9696-9A6A4FF79FC7}"/>
    <cellStyle name="Normal 5 2 4 3 2 3 7 2" xfId="30496" xr:uid="{62A7FCD7-3DD3-460C-A526-2E072EA83AC6}"/>
    <cellStyle name="Normal 5 2 4 3 2 3 8" xfId="31766" xr:uid="{85D1DC84-2E84-4DAD-9A80-773144FA5BFA}"/>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3 5" xfId="32009" xr:uid="{A4A8B685-D2B9-4A9C-9FD7-90A499EB24BA}"/>
    <cellStyle name="Normal 5 2 4 3 2 4 3 4" xfId="30359" xr:uid="{BB7BBCD9-B969-4973-A8B6-6CB722F841E4}"/>
    <cellStyle name="Normal 5 2 4 3 2 4 3 4 2" xfId="31700" xr:uid="{F60ECDD6-7D39-47D2-80B0-FE4508F286D8}"/>
    <cellStyle name="Normal 5 2 4 3 2 4 3 5" xfId="31993" xr:uid="{44EF1CE0-41C2-405F-BA2E-FBB0AC73B3B5}"/>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5 5" xfId="31824" xr:uid="{A53769D7-EEF3-4E8F-8C88-562622BAD983}"/>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6 5" xfId="31944" xr:uid="{E00381A7-CF8F-4507-89A3-9D785BAE9134}"/>
    <cellStyle name="Normal 5 2 4 3 2 7" xfId="30131" xr:uid="{C81275DE-CA30-40D7-AD33-FAB62E0FACED}"/>
    <cellStyle name="Normal 5 2 4 3 2 7 2" xfId="30495" xr:uid="{8AAC8AE9-2926-47D6-87B5-9E837B1CDB4A}"/>
    <cellStyle name="Normal 5 2 4 3 2 8" xfId="31765" xr:uid="{5C4116CA-E0C6-4C1D-80BF-DAC6885F3B1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3 5" xfId="31885" xr:uid="{7507EE1C-BDCB-4744-ADE7-CAC7706233C1}"/>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4 5" xfId="31827" xr:uid="{4F60F246-F3AD-40E1-8F70-60FF2A30D287}"/>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5 5" xfId="31826" xr:uid="{32E8BD59-8262-43DD-B34C-28EC0BEFDACF}"/>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6 5" xfId="31946" xr:uid="{68EDFAD8-C96B-486B-8E30-969D04F2E6F6}"/>
    <cellStyle name="Normal 5 2 4 3 4 7" xfId="30133" xr:uid="{0FF9C2E0-D12A-4ABC-95BB-3755B3F83C84}"/>
    <cellStyle name="Normal 5 2 4 3 4 7 2" xfId="30497" xr:uid="{FC91A448-0B30-4A6D-BA82-B1E29BB27650}"/>
    <cellStyle name="Normal 5 2 4 3 4 8" xfId="31767" xr:uid="{F4BF3ECB-B673-4B2C-AC1B-3B48C6349E47}"/>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3 6" xfId="31886" xr:uid="{2F28F5E8-258E-478C-8BD3-1ED379DFE28E}"/>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3 3 5" xfId="31887" xr:uid="{56119B9C-9AF5-4D49-928D-3177A4C0EEFB}"/>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5 5" xfId="31829" xr:uid="{64CA30EE-76C5-46A8-9618-CDFE91B3A122}"/>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6 5" xfId="31948" xr:uid="{D3BCC432-12BF-496A-92F6-084C1DDB2D60}"/>
    <cellStyle name="Normal 5 2 4 4 3 7" xfId="30135" xr:uid="{043D8D7C-0FB5-4B99-8C37-48CD2D0D46E8}"/>
    <cellStyle name="Normal 5 2 4 4 3 7 2" xfId="30499" xr:uid="{530030F0-59D0-4660-8567-AD5B7CB24B9B}"/>
    <cellStyle name="Normal 5 2 4 4 3 8" xfId="31769" xr:uid="{F5D64472-8EAE-483F-A781-BB3B5AF1E001}"/>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4 3 5" xfId="31888" xr:uid="{758C3C2E-DAD9-4A6D-BD67-598EA8A8BA3F}"/>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2 5" xfId="31986" xr:uid="{2C09AC3E-6949-405F-8308-BB0E9F0A6D8D}"/>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6 5" xfId="31828" xr:uid="{5AD8C2B0-DF03-4ECA-A5A4-2A4C3C4AF1D2}"/>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7 5" xfId="31947" xr:uid="{ECE19079-B873-4FBA-8B3F-B63A66B9D28F}"/>
    <cellStyle name="Normal 5 2 4 4 8" xfId="30134" xr:uid="{2E70D3D9-38AE-4F46-AE0C-D4B00782AB6B}"/>
    <cellStyle name="Normal 5 2 4 4 8 2" xfId="30498" xr:uid="{FF04236F-3AE0-4DDD-A3DA-183F84BE2F5D}"/>
    <cellStyle name="Normal 5 2 4 4 9" xfId="31768" xr:uid="{BA437488-0F82-4D3B-9F1C-1ECAB06CE8B1}"/>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3 5" xfId="31889" xr:uid="{3CC5A012-FD9E-4C52-B3A6-39056DA0991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6 5" xfId="31802" xr:uid="{FACD236D-9B3C-4890-AFA9-563684DE12DB}"/>
    <cellStyle name="Normal 5 2 4 7" xfId="30113" xr:uid="{342BA205-8867-43D9-9B72-B399D3F5B164}"/>
    <cellStyle name="Normal 5 2 4 7 2" xfId="30473" xr:uid="{BD37669B-A0D9-4854-A41E-C8C8D8D8F3B6}"/>
    <cellStyle name="Normal 5 2 4 8" xfId="31746" xr:uid="{292E00EC-C766-4114-9DE1-CF0907AC02E3}"/>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3 3 5" xfId="31890" xr:uid="{916A65CD-70EB-43D7-9F02-B5C5CEE20509}"/>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5 5" xfId="31831" xr:uid="{1FCB7D3F-2561-44CB-A382-DCAF279AC409}"/>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6 5" xfId="31950" xr:uid="{8D59E135-AC2F-4C8D-95DF-E196267D41D7}"/>
    <cellStyle name="Normal 5 2 6 3 7" xfId="30137" xr:uid="{42B1072C-8B2A-4FA2-81EC-269C4E84A3A5}"/>
    <cellStyle name="Normal 5 2 6 3 7 2" xfId="30502" xr:uid="{54FBF52F-2716-45C2-84B6-D21E6196F530}"/>
    <cellStyle name="Normal 5 2 6 3 8" xfId="31771" xr:uid="{49C18D4C-1DD1-4E80-8DDA-1F158696D3FF}"/>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3 5" xfId="32010" xr:uid="{F29DABD2-FC4D-473E-BE41-07C25D0C2543}"/>
    <cellStyle name="Normal 5 2 6 4 2 4" xfId="30360" xr:uid="{704420A6-BB13-4C4A-98E2-F5E54ACD7C79}"/>
    <cellStyle name="Normal 5 2 6 4 2 4 2" xfId="31701" xr:uid="{BFDDA610-75E9-4FB0-AECA-C28A0E3EE21C}"/>
    <cellStyle name="Normal 5 2 6 4 2 5" xfId="31994" xr:uid="{3A9D60D4-64F0-4D74-B1FD-EBEE743E818A}"/>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5 5" xfId="31830" xr:uid="{EAEDF0E9-F29A-40F7-8554-5D892D346481}"/>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6 5" xfId="31949" xr:uid="{87933E47-02C1-4815-A61E-BE0C8E7500DF}"/>
    <cellStyle name="Normal 5 2 6 7" xfId="30136" xr:uid="{E209EADA-9019-48FA-A3B0-FD7DD812FC2D}"/>
    <cellStyle name="Normal 5 2 6 7 2" xfId="30501" xr:uid="{806443B8-0098-40D3-A0A9-566A12CC2022}"/>
    <cellStyle name="Normal 5 2 6 8" xfId="31770" xr:uid="{F4650598-2D11-4F90-9C18-87487BE0A704}"/>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4 5" xfId="31891" xr:uid="{129F469F-E454-4933-9412-0089E4D39FEB}"/>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5 5" xfId="31995" xr:uid="{F55F42EB-AD84-4B0C-8D75-6C8D9561F7F2}"/>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3 3 5" xfId="31892" xr:uid="{5969C7B7-F3B5-4254-A1EC-D0935ADF6B29}"/>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5 5" xfId="31833" xr:uid="{3D4DEA08-86D4-4B52-BF8A-847A4DD64EA9}"/>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6 5" xfId="31952" xr:uid="{D954C6A4-79C8-4082-86B4-7D22EF1E1CC0}"/>
    <cellStyle name="Normal 5 3 3 2 3 7" xfId="30139" xr:uid="{CEEC2368-E04C-4884-B7E9-1C0EF9192CCC}"/>
    <cellStyle name="Normal 5 3 3 2 3 7 2" xfId="30505" xr:uid="{40091B9F-9A6C-4CD3-B1C9-52952B51C499}"/>
    <cellStyle name="Normal 5 3 3 2 3 8" xfId="31773" xr:uid="{2B25191E-3569-4896-A99F-795C742D64A0}"/>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4 4 5" xfId="31893" xr:uid="{AD32732D-EA7E-4E42-981B-6AFA5D8F4DA4}"/>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5 5" xfId="31832" xr:uid="{2CCDF7F2-B581-4E91-87A6-32687C0B44DC}"/>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6 5" xfId="31951" xr:uid="{B77F9C38-F2D4-4E32-89DF-E504BF652154}"/>
    <cellStyle name="Normal 5 3 3 2 7" xfId="30138" xr:uid="{D531B8A8-AA54-477A-BB5E-9C4205A9F66B}"/>
    <cellStyle name="Normal 5 3 3 2 7 2" xfId="30504" xr:uid="{F0BFF427-E566-43AB-88DF-26A10FC54877}"/>
    <cellStyle name="Normal 5 3 3 2 8" xfId="31772" xr:uid="{CAB2CF16-192A-4599-B2D4-457049C4418A}"/>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3 3 5" xfId="31894" xr:uid="{20BB71C6-3BBD-4DFF-81E5-88B3AF49701C}"/>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3 5" xfId="31895" xr:uid="{42548376-0F5B-4503-9132-1B2C4A09D1C9}"/>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4 5" xfId="31835" xr:uid="{F88B0801-A0D0-4052-BD35-EC66AD5F8D82}"/>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5 5" xfId="31834" xr:uid="{2F36F886-931E-43DB-818A-AF5796AAE542}"/>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6 5" xfId="31953" xr:uid="{7782B158-FDC8-477A-B562-08B9DA719FCC}"/>
    <cellStyle name="Normal 5 3 3 4 7" xfId="30140" xr:uid="{347E797A-C3DA-48FE-923F-48D6C2483068}"/>
    <cellStyle name="Normal 5 3 3 4 7 2" xfId="30506" xr:uid="{2B8EC82B-053E-4181-83D9-DD6F2D19A0F7}"/>
    <cellStyle name="Normal 5 3 3 4 8" xfId="31774" xr:uid="{3C357966-CF74-4701-9B29-FFAAB496DA32}"/>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3 6" xfId="31896" xr:uid="{53B2FB37-56CF-4F63-99AA-2BA801C7D5A3}"/>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3 6 3 5" xfId="31897" xr:uid="{37D0F6FF-D028-4AB8-BF77-2760405DC5CD}"/>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3 3 5" xfId="31898" xr:uid="{F0275AAD-8718-4F58-8AC2-9639D9C6482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5 5" xfId="31837" xr:uid="{6DD0B63B-BCBC-4E53-8390-DC94257EB32A}"/>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6 5" xfId="31955" xr:uid="{4DCCB906-EBF2-438B-9E5A-B1694AF0EF53}"/>
    <cellStyle name="Normal 5 3 4 3 7" xfId="30142" xr:uid="{8464588B-FBC9-4AEB-8137-4B7B64E1AFE0}"/>
    <cellStyle name="Normal 5 3 4 3 7 2" xfId="30508" xr:uid="{0455E1FF-3A8B-40C3-BF3A-C60A750C7BEF}"/>
    <cellStyle name="Normal 5 3 4 3 8" xfId="31776" xr:uid="{DA682CD3-43EC-4ABB-AA79-9FFA4EABEA26}"/>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4 3 5" xfId="31899" xr:uid="{00D3E093-4587-41F0-AB4B-EA0F1CD4B1EF}"/>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5 5" xfId="31836" xr:uid="{91DDD679-5478-43FA-B8FB-E6B70348975D}"/>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6 5" xfId="31954" xr:uid="{85883DA4-F313-4189-9E07-0B7A1C73CF9A}"/>
    <cellStyle name="Normal 5 3 4 7" xfId="30141" xr:uid="{C5086DE0-3D25-4310-955C-9881B5375DBB}"/>
    <cellStyle name="Normal 5 3 4 7 2" xfId="30507" xr:uid="{0691E9B7-B979-49A9-82BB-8C389DE41776}"/>
    <cellStyle name="Normal 5 3 4 8" xfId="31775" xr:uid="{715FFDD6-6568-430B-981E-3E9264DED39F}"/>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5 5" xfId="31803" xr:uid="{316130DC-D2A6-4547-8B59-382E1EA1CF4F}"/>
    <cellStyle name="Normal 5 3 6" xfId="30114" xr:uid="{FF7EC34F-1D03-426F-944C-8DDEC9BD14BD}"/>
    <cellStyle name="Normal 5 3 6 2" xfId="30474" xr:uid="{C83318F6-E85A-4A71-88FC-A52912529995}"/>
    <cellStyle name="Normal 5 3 7" xfId="31747" xr:uid="{337C1941-D29F-4DFE-8FD7-B5C358B0C158}"/>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4 3 3 5" xfId="31900" xr:uid="{40F263E5-2734-4E01-AD2F-E4EBBFD5EC64}"/>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3 3 5" xfId="31901" xr:uid="{754658E2-73F9-40DD-B4CA-4C1722B5D59C}"/>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5 5" xfId="31839" xr:uid="{130F5C18-B1B8-4F58-8C05-BA4F984E60B2}"/>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6 5" xfId="31957" xr:uid="{7E2D0404-CD48-4B83-813F-1C109FF59CF1}"/>
    <cellStyle name="Normal 5 5 10 7" xfId="30144" xr:uid="{9EC4A54E-D459-477E-95C3-D8EED714DA54}"/>
    <cellStyle name="Normal 5 5 10 7 2" xfId="30510" xr:uid="{642D08F6-4146-4DCF-BE9E-E70107F064A1}"/>
    <cellStyle name="Normal 5 5 10 8" xfId="31778" xr:uid="{DE339D0D-60AE-4F49-9D53-282804968AB2}"/>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3 5" xfId="31929" xr:uid="{BD43FFDF-D321-49CF-8E57-FC0670884458}"/>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3 5" xfId="31902" xr:uid="{B49DDE4E-B474-4D82-8DE7-DE34D666ABD3}"/>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7 5" xfId="31849" xr:uid="{A34030C0-1ADE-4F6E-8588-709AA51B14BF}"/>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8 5" xfId="31966" xr:uid="{198FE584-0EBD-4846-9AFF-45C9E6F51FC7}"/>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3 6" xfId="31903" xr:uid="{7E62AF28-5138-45A1-B504-E13586E5ACC7}"/>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7 6" xfId="31838" xr:uid="{6A51634D-127A-4B22-AE22-86669FF3445A}"/>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8 5" xfId="31956" xr:uid="{6F225451-E1BB-4748-84E3-8090BB6BD0E2}"/>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23 2" xfId="32019" xr:uid="{81E550AD-9039-41F4-A2D5-02CB7EC9C075}"/>
    <cellStyle name="Normal 5 5 24" xfId="31777" xr:uid="{063500B0-5BCF-4689-9FF8-33FD7D7871A1}"/>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5 7" xfId="31904" xr:uid="{03741BC8-310A-4A53-AF2C-7496C15FEEE9}"/>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6 5" xfId="31840" xr:uid="{02E3CA20-CDCC-4EF9-A465-3AFA4DE6B0FA}"/>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7 7" xfId="31958" xr:uid="{26829776-719A-46BD-A258-5673071C5FD9}"/>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6 5" xfId="31996" xr:uid="{63D7B69F-D531-4296-933F-895FCFAC05FA}"/>
    <cellStyle name="Normal 5 7" xfId="30110" xr:uid="{B86EA2F7-3D8C-4453-9463-4535C564224A}"/>
    <cellStyle name="Normal 5 7 2" xfId="31496" xr:uid="{388D835E-8A46-47C8-B36E-97EC381E07D9}"/>
    <cellStyle name="Normal 5 8" xfId="31738" xr:uid="{2A11AEFC-1C32-45CA-8BBE-59875947677C}"/>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2 3 5" xfId="31905" xr:uid="{B4F14851-42A4-42D8-AD46-176C1F10B645}"/>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3 3 5" xfId="31906" xr:uid="{4DC8D91C-F9C0-4E7B-A88F-826CB688E59F}"/>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5 5" xfId="31842" xr:uid="{D0802F31-2ACA-4BC1-B9A9-A45C60546CFF}"/>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6 5" xfId="31960" xr:uid="{2E1EAF87-55A0-4572-8E1C-BFD5E308123D}"/>
    <cellStyle name="Normal 6 3 3 3 2 3 7" xfId="30146" xr:uid="{DC11676B-B130-4A24-B13D-A1AF24211213}"/>
    <cellStyle name="Normal 6 3 3 3 2 3 7 2" xfId="30513" xr:uid="{2A90FA8B-F176-40AB-B942-C645A0B2AC10}"/>
    <cellStyle name="Normal 6 3 3 3 2 3 8" xfId="31780" xr:uid="{AC73DE27-1D15-4E8C-90EF-DCE8A505F7A5}"/>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3 5" xfId="32011" xr:uid="{06FC7E84-62B2-4631-875C-E016AFD26780}"/>
    <cellStyle name="Normal 6 3 3 3 2 4 3 4" xfId="30363" xr:uid="{3A82768C-6B5D-4D32-86C4-08DE35B49E64}"/>
    <cellStyle name="Normal 6 3 3 3 2 4 3 4 2" xfId="31703" xr:uid="{7FCFC7B6-2244-4C07-99E2-5744C78CE1C6}"/>
    <cellStyle name="Normal 6 3 3 3 2 4 3 5" xfId="31997" xr:uid="{6BCD8F41-81B7-4A64-B6D4-6AE476FDC704}"/>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5 5" xfId="31841" xr:uid="{16E90C34-F0D9-4A4C-8F6D-4B650C3B357C}"/>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6 5" xfId="31959" xr:uid="{AFB3293D-1D1B-4E4B-BCC4-9F86F25FDAD0}"/>
    <cellStyle name="Normal 6 3 3 3 2 7" xfId="30145" xr:uid="{80BE168A-ACEA-40EE-BC12-1FF256FF1F93}"/>
    <cellStyle name="Normal 6 3 3 3 2 7 2" xfId="30512" xr:uid="{1E65CB5E-5F31-4857-9CD1-EB4B121E79A0}"/>
    <cellStyle name="Normal 6 3 3 3 2 8" xfId="31779" xr:uid="{4C8A44DD-8075-43F2-9BD9-C440A97796EC}"/>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3 5" xfId="31907" xr:uid="{64AE5BE2-C6F0-4593-AF10-CB08CD91C41C}"/>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4 5" xfId="31844" xr:uid="{FF44EAE1-CC4B-400F-A821-0D0892824B90}"/>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5 5" xfId="31843" xr:uid="{D1D22720-42CB-4E40-B482-92A31F5815B3}"/>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6 5" xfId="31961" xr:uid="{51857C86-AF84-4E98-9557-4094E2346B70}"/>
    <cellStyle name="Normal 6 3 3 3 4 7" xfId="30147" xr:uid="{C2411ACB-20F6-4EE0-8B84-B62097023916}"/>
    <cellStyle name="Normal 6 3 3 3 4 7 2" xfId="30514" xr:uid="{BAFE7101-FEEB-42B9-BA1E-81777797EAA5}"/>
    <cellStyle name="Normal 6 3 3 3 4 8" xfId="31781" xr:uid="{2E1ED63D-1216-41C8-809E-8C7973656B24}"/>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3 6" xfId="31908" xr:uid="{69BC04FC-FEA8-4E45-8752-A42C8361048B}"/>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3 3 5" xfId="31909" xr:uid="{66977EE9-6F4B-4C05-9F60-D1EDCBE9CD5E}"/>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5 5" xfId="31846" xr:uid="{2D22FBDD-9B81-407A-A5DF-3CE283B1CAA8}"/>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6 5" xfId="31963" xr:uid="{674A6D6C-A61D-4C55-B6BD-FC47C98FA7B6}"/>
    <cellStyle name="Normal 6 3 3 4 3 7" xfId="30149" xr:uid="{5DD134DE-7771-4AC1-A6C7-CAB182204804}"/>
    <cellStyle name="Normal 6 3 3 4 3 7 2" xfId="30516" xr:uid="{F5396644-8DAF-4937-A4F1-2401EBC3517A}"/>
    <cellStyle name="Normal 6 3 3 4 3 8" xfId="31783" xr:uid="{12048E24-3C43-4435-BE8C-D5069E93FC2F}"/>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4 3 5" xfId="31910" xr:uid="{951405C8-B7DD-4C08-BFB4-871217ABAC05}"/>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5 5" xfId="31845" xr:uid="{DB32A3B8-5C37-4356-AA3C-90F98EB93FA0}"/>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6 5" xfId="31962" xr:uid="{DC78F7B7-6B26-4AC5-984F-17C8FD986577}"/>
    <cellStyle name="Normal 6 3 3 4 7" xfId="30148" xr:uid="{838F89EF-1D7F-4065-8D4C-3A4DAF9BF3DA}"/>
    <cellStyle name="Normal 6 3 3 4 7 2" xfId="30515" xr:uid="{05F24ADF-AA50-4531-B604-5CFE29E6FEC6}"/>
    <cellStyle name="Normal 6 3 3 4 8" xfId="31782" xr:uid="{FEEE74F3-2B84-4E8F-BAB1-8AF14D10129F}"/>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5 5" xfId="31804" xr:uid="{B3748554-0B6A-4B8F-9DBC-D73F2A66DFC1}"/>
    <cellStyle name="Normal 6 3 3 6" xfId="30102" xr:uid="{39D311B1-3F99-4637-B6B6-3945F5B433CC}"/>
    <cellStyle name="Normal 6 3 3 6 2" xfId="30475" xr:uid="{F1B2B02C-F2EA-473E-AE49-8B217EFDE528}"/>
    <cellStyle name="Normal 6 3 3 7" xfId="31748" xr:uid="{4A82FE77-F13D-47E1-8718-69A66B938AB7}"/>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3 3 5" xfId="31911" xr:uid="{ED0A0047-CDC3-4569-847C-302E6CE1CE6E}"/>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5 5" xfId="31848" xr:uid="{BB170375-6210-4D6C-9888-71D334730DE6}"/>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6 5" xfId="31965" xr:uid="{0080A4F2-C314-4612-BF76-5FBC385C3736}"/>
    <cellStyle name="Normal 6 3 4 3 7" xfId="30151" xr:uid="{7EB70341-ADA0-4143-B80B-2417C60D5EFB}"/>
    <cellStyle name="Normal 6 3 4 3 7 2" xfId="30519" xr:uid="{35C90F93-35F2-4DF2-AF1A-E04B1075095B}"/>
    <cellStyle name="Normal 6 3 4 3 8" xfId="31785" xr:uid="{01430505-97F4-473B-8E56-9B7CA08BF22D}"/>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3 5" xfId="32012" xr:uid="{2A5DE39B-10E2-4CDF-9538-29E120C87514}"/>
    <cellStyle name="Normal 6 3 4 4 2 4" xfId="30364" xr:uid="{ED8C1BC9-242E-4E34-A350-F2FCEF2ABD52}"/>
    <cellStyle name="Normal 6 3 4 4 2 4 2" xfId="31704" xr:uid="{1508FF5D-6EE9-4924-B426-3723E8CF7E8F}"/>
    <cellStyle name="Normal 6 3 4 4 2 5" xfId="31998" xr:uid="{D2580A4E-D5D9-4858-8863-0FBC62EB80D7}"/>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5 5" xfId="31847" xr:uid="{6C5AA0DD-3468-4F0D-B57F-4A9120AFE14F}"/>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6 5" xfId="31964" xr:uid="{F27C1DC0-90DF-4120-8952-65B84C1CBB5C}"/>
    <cellStyle name="Normal 6 3 4 7" xfId="30150" xr:uid="{230E3327-1DCE-4021-B3F8-983D1A5A137A}"/>
    <cellStyle name="Normal 6 3 4 7 2" xfId="30518" xr:uid="{E88A4B4D-5E2F-4EF4-8F91-154A61DEACCE}"/>
    <cellStyle name="Normal 6 3 4 8" xfId="31784" xr:uid="{6D7E8ABB-FD7C-401F-A318-46987B373574}"/>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5 4" xfId="31999" xr:uid="{E0EBF805-1D6B-4701-B2D1-326C63ED6BE7}"/>
    <cellStyle name="Normal 6 3 6" xfId="31500" xr:uid="{DD156CEF-7EAB-43B9-BB83-25E20C183EA0}"/>
    <cellStyle name="Normal 6 3 7" xfId="31742" xr:uid="{B400B9E4-1355-4386-B647-8830266281C1}"/>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3 3 5" xfId="31912" xr:uid="{FA306F00-B841-4355-A066-EC66918A692E}"/>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5 5" xfId="31851" xr:uid="{67AA7A16-6D9A-4F6F-8C69-9779C128EF35}"/>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6 5" xfId="31968" xr:uid="{C3B81571-3093-4248-9DDA-B5D3C700E5CD}"/>
    <cellStyle name="Normal 6 5 3 2 3 7" xfId="30153" xr:uid="{49112585-27FD-43F2-BF44-AC831E47158C}"/>
    <cellStyle name="Normal 6 5 3 2 3 7 2" xfId="30522" xr:uid="{97E9803D-6432-444E-A890-68A0602A16F1}"/>
    <cellStyle name="Normal 6 5 3 2 3 8" xfId="31787" xr:uid="{92E4056A-0E55-450E-8180-8D324919DF75}"/>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3 5" xfId="32013" xr:uid="{ED42548C-FFC3-4356-B950-BF13D0FA1BF0}"/>
    <cellStyle name="Normal 6 5 3 2 4 3 4" xfId="30366" xr:uid="{ECE487CF-3F45-4A59-B530-7A43F95E48BF}"/>
    <cellStyle name="Normal 6 5 3 2 4 3 4 2" xfId="31705" xr:uid="{08509A36-70E6-4EBD-A46D-BFCD7652D951}"/>
    <cellStyle name="Normal 6 5 3 2 4 3 5" xfId="32000" xr:uid="{524D9E0C-D4F0-412A-85C7-DB233C7F4163}"/>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5 5" xfId="31850" xr:uid="{C249B8BB-7FA6-449E-90CB-9850ACEA77F4}"/>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6 5" xfId="31967" xr:uid="{3399695D-436F-4CC2-AF84-C02327CC6E8C}"/>
    <cellStyle name="Normal 6 5 3 2 7" xfId="30152" xr:uid="{940D94C0-6359-4490-BCCE-8FEBED747550}"/>
    <cellStyle name="Normal 6 5 3 2 7 2" xfId="30521" xr:uid="{AC08ED16-3FFE-4CEE-BEF0-0022C74CD6F4}"/>
    <cellStyle name="Normal 6 5 3 2 8" xfId="31786" xr:uid="{52842E78-08C4-4D93-B418-278B236D7F7D}"/>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3 5" xfId="31913" xr:uid="{A7805F84-0B74-416D-ADFD-01F71EC45096}"/>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4 5" xfId="31853" xr:uid="{37184B02-C537-4F3D-B29D-AC1AF1DF004A}"/>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5 5" xfId="31852" xr:uid="{69C82089-5492-414A-9DDA-ADF45843FE6D}"/>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6 5" xfId="31969" xr:uid="{37B21FB9-1290-4412-A9CE-92BD2AAF5C40}"/>
    <cellStyle name="Normal 6 5 3 4 7" xfId="30154" xr:uid="{B6B1B1A2-B731-440F-A283-79585C0A73B2}"/>
    <cellStyle name="Normal 6 5 3 4 7 2" xfId="30523" xr:uid="{8E1F6B5E-F917-4E06-A35E-B3F4B762C63D}"/>
    <cellStyle name="Normal 6 5 3 4 8" xfId="31788" xr:uid="{C0022AF3-683F-4822-9FDE-2D4825BB3CEB}"/>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3 6" xfId="31914" xr:uid="{9D47DEBD-EEFE-4E64-8C27-EA9C22AC519C}"/>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3 3 5" xfId="31915" xr:uid="{823605E1-DB5C-4F59-9EE6-AE17B1CDA6F4}"/>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5 5" xfId="31855" xr:uid="{4429D6D9-8CFE-407C-B71F-35EA55399D04}"/>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6 5" xfId="31971" xr:uid="{F0527D1F-273E-49D2-A24A-A75265A92AFF}"/>
    <cellStyle name="Normal 6 5 4 3 7" xfId="30156" xr:uid="{E689BF94-8089-4EDB-8A90-EC9DD05FAEB6}"/>
    <cellStyle name="Normal 6 5 4 3 7 2" xfId="30525" xr:uid="{EFBA4820-C840-4148-BF88-6BDF2F0347D9}"/>
    <cellStyle name="Normal 6 5 4 3 8" xfId="31790" xr:uid="{A00B5BF0-4630-4B27-BCA7-9409C3E3A23A}"/>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4 3 5" xfId="31916" xr:uid="{7A555C8D-B18E-4F02-8331-898A76BDA649}"/>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5 5" xfId="31854" xr:uid="{D28721DE-819F-43F9-A414-2BEC67C0122E}"/>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6 5" xfId="31970" xr:uid="{433CF912-D1A6-4A9F-8959-3B581688C430}"/>
    <cellStyle name="Normal 6 5 4 7" xfId="30155" xr:uid="{2552D7E3-E9B3-4241-AB50-FAF890DD8E42}"/>
    <cellStyle name="Normal 6 5 4 7 2" xfId="30524" xr:uid="{4C0D5AE6-EFC9-4BFA-B323-123CB782B2A7}"/>
    <cellStyle name="Normal 6 5 4 8" xfId="31789" xr:uid="{33361614-3A2D-4D7D-BAA2-A1E6B612CF9C}"/>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5 5" xfId="31805" xr:uid="{C050C015-E250-4559-AD66-78B8986C407A}"/>
    <cellStyle name="Normal 6 5 6" xfId="30115" xr:uid="{8D7A58C9-2680-41F9-B10A-5FB6EB00FD95}"/>
    <cellStyle name="Normal 6 5 6 2" xfId="30476" xr:uid="{6AC3E222-93E2-4ED5-A04F-8AD2183A95F8}"/>
    <cellStyle name="Normal 6 5 7" xfId="31749" xr:uid="{CB59BB16-5F38-4712-9C3A-9A00767CB6AD}"/>
    <cellStyle name="Normal 6 6" xfId="1313" xr:uid="{00000000-0005-0000-0000-0000F2060000}"/>
    <cellStyle name="Normal 6 6 10" xfId="30157" xr:uid="{52A1F13F-0078-432B-BBAA-5F6768E9F38E}"/>
    <cellStyle name="Normal 6 6 10 2" xfId="31504" xr:uid="{05AC218F-FBCD-4605-9DE7-01587C8CA6CF}"/>
    <cellStyle name="Normal 6 6 11" xfId="31791" xr:uid="{74FF6331-4671-4D2A-B271-7069687F8CA4}"/>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4 6" xfId="31857" xr:uid="{28903465-60C5-4A10-A8E8-F00A275D3F5A}"/>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3 4 3 5" xfId="31917" xr:uid="{3F146B55-5D43-4400-8F65-8489273F94A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3 3 5" xfId="31918" xr:uid="{960E59B8-C2E3-483C-ADDB-D1989A9218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5 5" xfId="31858" xr:uid="{173280EF-6653-42CB-8434-355231052529}"/>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6 5" xfId="31973" xr:uid="{342A6E5E-5D39-46FA-9E49-D50F18241D08}"/>
    <cellStyle name="Normal 6 6 4 7" xfId="30158" xr:uid="{5E7B4808-922D-4165-8936-0598A0A6DAFF}"/>
    <cellStyle name="Normal 6 6 4 7 2" xfId="30527" xr:uid="{D1390093-1061-4654-B29D-280509906CE5}"/>
    <cellStyle name="Normal 6 6 4 8" xfId="31792" xr:uid="{8DEA34C9-654F-4005-85CB-82FA7DFB213E}"/>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2 5" xfId="31984" xr:uid="{AF73F513-87D6-47D6-9646-C04065186AB3}"/>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4 5" xfId="31868" xr:uid="{03485721-D522-4C8E-B1BE-9731A263D2A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5 5" xfId="31982" xr:uid="{6B670D1B-72F8-476C-9820-687259F35253}"/>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7 3 5" xfId="31919" xr:uid="{16F026D2-0DB1-46A8-8FFA-BC5B09FC2223}"/>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8 5" xfId="31856" xr:uid="{7366CA6F-6EE2-4AEC-9452-BA6A62DD4FB2}"/>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6 9 5" xfId="31972" xr:uid="{10DB9F5C-EF7E-4FBA-9689-529FC0D984FB}"/>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3 5" xfId="32014" xr:uid="{E5B9F66D-6161-48B2-803E-6760CD70079F}"/>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7 6" xfId="32001" xr:uid="{21442EBC-428C-40AE-9CDB-EDF03BE8B984}"/>
    <cellStyle name="Normal 6 8" xfId="31497" xr:uid="{87BFBF72-39C8-449B-BCD7-58E40C532503}"/>
    <cellStyle name="Normal 6 9" xfId="31739" xr:uid="{76EECAB5-253D-4568-A8DF-AA4469B54760}"/>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6 5" xfId="32015" xr:uid="{46B3987C-F377-4BA8-88FD-DD093606B7D0}"/>
    <cellStyle name="Normal 7 14 3 7" xfId="29635" xr:uid="{34C97F94-45C7-4B15-9ED5-2C3B425DF668}"/>
    <cellStyle name="Normal 7 14 3 8" xfId="30368" xr:uid="{41672123-6C8D-4359-9C8E-48BF387564A2}"/>
    <cellStyle name="Normal 7 14 3 8 2" xfId="31707" xr:uid="{E814CD8D-8D5B-49AD-88A8-8E69D7486D14}"/>
    <cellStyle name="Normal 7 14 3 9" xfId="32002" xr:uid="{BCC042FB-75E0-4775-91B4-89B2F3EE376D}"/>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22 2" xfId="32018" xr:uid="{50E47BEF-A468-48F5-A420-3B199B9330CE}"/>
    <cellStyle name="Normal 7 23" xfId="31743" xr:uid="{CEF6573A-53EC-4ADF-A172-4A2371A008E9}"/>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3 3 5" xfId="31920" xr:uid="{55361E46-5E85-436F-A87E-13321082FEED}"/>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5 5" xfId="31860" xr:uid="{9CBCCE02-47FB-4AF6-ADDB-B464771E04F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6 5" xfId="31975" xr:uid="{97F602CD-4D32-4105-B0B3-757FFCD6EBFE}"/>
    <cellStyle name="Normal 7 3 3 2 3 7" xfId="30160" xr:uid="{780A71C4-DEF8-4E6E-ACC0-3655804A98B1}"/>
    <cellStyle name="Normal 7 3 3 2 3 7 2" xfId="30530" xr:uid="{0EEE45BB-0632-4849-9B3D-03E60AC02070}"/>
    <cellStyle name="Normal 7 3 3 2 3 8" xfId="31794" xr:uid="{C144B9C8-39BD-4E83-B5B7-593FF45276F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3 5" xfId="32016" xr:uid="{BAA84678-B9E5-44F0-AACB-BC984A455A5A}"/>
    <cellStyle name="Normal 7 3 3 2 4 3 4" xfId="30369" xr:uid="{51F68BB7-1CBC-471B-8C45-133EBC2770D2}"/>
    <cellStyle name="Normal 7 3 3 2 4 3 4 2" xfId="31708" xr:uid="{9A461396-9683-439E-A844-9F185B081F12}"/>
    <cellStyle name="Normal 7 3 3 2 4 3 5" xfId="32003" xr:uid="{8F72FC01-163A-4051-8EAF-8C05A91C2A2C}"/>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5 5" xfId="31859" xr:uid="{8A5C62B8-D4CC-4179-ADE7-B7BC4D8AF4B6}"/>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6 5" xfId="31974" xr:uid="{5153D389-8175-4598-B8CE-6C4EAFCC97B3}"/>
    <cellStyle name="Normal 7 3 3 2 7" xfId="30159" xr:uid="{FA8D9B86-1118-4618-BB6D-43B775B037D2}"/>
    <cellStyle name="Normal 7 3 3 2 7 2" xfId="30529" xr:uid="{5EDFF2C5-0B36-4BC0-9185-4FF885E1700E}"/>
    <cellStyle name="Normal 7 3 3 2 8" xfId="31793" xr:uid="{32B13723-F3E1-4DA7-85FD-F0F88921FADD}"/>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3 5" xfId="31921" xr:uid="{63301C97-B84A-4E7A-8688-742EB75815D0}"/>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4 5" xfId="31862" xr:uid="{2EC07911-05C0-4CAF-B202-5092EDBBF497}"/>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5 5" xfId="31861" xr:uid="{E88DA9FC-87BB-4143-BC53-9B2399968B3D}"/>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6 5" xfId="31976" xr:uid="{7977BF5F-CF9F-4A6A-8CB8-A7B643E6B27E}"/>
    <cellStyle name="Normal 7 3 3 4 7" xfId="30161" xr:uid="{52394549-E29E-4278-9C6A-6C4AFCC85D43}"/>
    <cellStyle name="Normal 7 3 3 4 7 2" xfId="30531" xr:uid="{79991904-AF5C-4236-8DCF-6C2BEDC43AA3}"/>
    <cellStyle name="Normal 7 3 3 4 8" xfId="31795" xr:uid="{47E5FB9E-D623-43B4-A4AD-A3D134ACD5E5}"/>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3 6" xfId="31922" xr:uid="{2C59FDC7-DB25-4F03-A12F-8B0B7DE4C225}"/>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3 3 5" xfId="31923" xr:uid="{38023B3C-A0A5-4432-BF8A-CF008C9C4100}"/>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5 5" xfId="31864" xr:uid="{4DC4F957-CC23-4812-BAE0-B7E016475ED7}"/>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6 5" xfId="31978" xr:uid="{9306CA6F-2E9E-481C-8EF0-FBCD946739C3}"/>
    <cellStyle name="Normal 7 3 4 3 7" xfId="30163" xr:uid="{8FB8729F-E256-4613-98CA-4EC4024F1636}"/>
    <cellStyle name="Normal 7 3 4 3 7 2" xfId="30533" xr:uid="{D8F8BCBD-9FA9-4694-BE0E-FA68B6A82F77}"/>
    <cellStyle name="Normal 7 3 4 3 8" xfId="31797" xr:uid="{631BC5F8-D753-4365-B5B2-C7BF0ADA5825}"/>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4 3 5" xfId="31924" xr:uid="{D7B6178E-619E-46EE-BDC2-A00B64BB6FB3}"/>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5 5" xfId="31863" xr:uid="{0473FE3B-B9AA-47DE-9BC9-F8D6FA07832C}"/>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6 5" xfId="31977" xr:uid="{36928D29-A131-4FEB-82EE-02A909264579}"/>
    <cellStyle name="Normal 7 3 4 7" xfId="30162" xr:uid="{547D83AB-00BA-499B-81A0-779EECACE4D6}"/>
    <cellStyle name="Normal 7 3 4 7 2" xfId="30532" xr:uid="{C34CEC2F-9910-42A5-A6D6-E9823FE39A10}"/>
    <cellStyle name="Normal 7 3 4 8" xfId="31796" xr:uid="{51DAE4A7-2976-4A42-88D1-2A39C979678A}"/>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5 5" xfId="31806" xr:uid="{11E33760-64EC-4568-9ABC-E16EE221B5DD}"/>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3 8" xfId="31750" xr:uid="{6F01602F-B9A8-4E34-928B-8B7B3FDA5091}"/>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3 3 5" xfId="31925" xr:uid="{5B5EBB68-0A11-442D-823C-B46CE6330393}"/>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5 5" xfId="31866" xr:uid="{3F49E6C2-1A90-4871-B579-033A0A0310AD}"/>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6 5" xfId="31980" xr:uid="{152DA5AE-C37F-47BF-B925-52D2A4AEDE56}"/>
    <cellStyle name="Normal 7 6 10 7" xfId="30165" xr:uid="{12C3815A-038F-484F-AD47-98D3CF0EAE5F}"/>
    <cellStyle name="Normal 7 6 10 7 2" xfId="30535" xr:uid="{0238211A-81EA-4FE4-8F6A-61EEA3D894FA}"/>
    <cellStyle name="Normal 7 6 10 8" xfId="31799" xr:uid="{8A9FC99B-6DCD-4262-BCF2-EB79CEDF5684}"/>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2 5" xfId="31985" xr:uid="{762A2D3A-6FC8-40AA-B98E-AB71505F9243}"/>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5 5" xfId="31869" xr:uid="{A8422BAC-31C8-453B-B096-90DBB72464BC}"/>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6 5" xfId="31983" xr:uid="{3942AF52-D4AD-45BF-A526-185D948791E2}"/>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3 6" xfId="31926" xr:uid="{2FE623C4-5C9B-4719-9236-574D991686ED}"/>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7 6" xfId="31865" xr:uid="{E55F823F-4A15-4C26-9344-B1D432761C2B}"/>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8 5" xfId="31979" xr:uid="{CE2C3E01-1D6B-4F77-AD4A-A2B7FE05F7FC}"/>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23 2" xfId="32020" xr:uid="{973872C4-0B51-4EC1-9087-44540FD2E4EB}"/>
    <cellStyle name="Normal 7 6 24" xfId="31798" xr:uid="{141CC0B2-AEC2-469D-8BE9-D5FE5F93FB89}"/>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5 7" xfId="31927" xr:uid="{0B7A38A3-D1DF-48EC-A2E6-D9E92519B97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6 5" xfId="31867" xr:uid="{ACF92A0E-985B-41DD-BC15-4DDAD94F98B9}"/>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7 7" xfId="31981" xr:uid="{8F3A3EFA-40F6-4219-A5AF-EC49E0730250}"/>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2 4 5" xfId="31928" xr:uid="{94C5323D-F7B6-4ECB-AD1E-3416C18ADF9C}"/>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4 5" xfId="31807" xr:uid="{64E24786-A0BE-4408-97F4-A4E6CCF6094A}"/>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2 2" xfId="31736" xr:uid="{F5D2602A-1CA8-4937-A75B-B7316868305F}"/>
    <cellStyle name="Percent 2 3" xfId="29585" xr:uid="{8FB87725-886D-4A62-BBA8-4FA9FB880D61}"/>
    <cellStyle name="Percent 2 4" xfId="31735" xr:uid="{81975A88-DC72-409E-895A-F94B1AF416FB}"/>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3 6" xfId="31734" xr:uid="{C296D834-E3A5-4FC0-BDC5-01EF2E3AC3B4}"/>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21">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91" formatCode=";;;"/>
    </dxf>
    <dxf>
      <numFmt numFmtId="191" formatCode=";;;"/>
    </dxf>
    <dxf>
      <numFmt numFmtId="191" formatCode=";;;"/>
    </dxf>
    <dxf>
      <numFmt numFmtId="191" formatCode=";;;"/>
    </dxf>
    <dxf>
      <numFmt numFmtId="191"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ont>
        <color rgb="FFFF0000"/>
      </font>
      <fill>
        <patternFill>
          <bgColor rgb="FFFFFFCC"/>
        </patternFill>
      </fill>
    </dxf>
    <dxf>
      <font>
        <color rgb="FF9C0006"/>
      </font>
      <fill>
        <patternFill>
          <bgColor rgb="FFFFC7CE"/>
        </patternFill>
      </fill>
    </dxf>
    <dxf>
      <font>
        <color rgb="FFFF0000"/>
      </font>
      <fill>
        <patternFill>
          <bgColor rgb="FFFFFFCC"/>
        </patternFill>
      </fill>
    </dxf>
    <dxf>
      <font>
        <color rgb="FFFF0000"/>
      </font>
      <fill>
        <patternFill>
          <bgColor rgb="FFFFFFCC"/>
        </patternFill>
      </fill>
    </dxf>
    <dxf>
      <font>
        <b/>
        <i val="0"/>
        <color rgb="FFFF0000"/>
      </font>
      <fill>
        <patternFill>
          <bgColor rgb="FFFFC7CE"/>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ill>
        <patternFill>
          <bgColor theme="5" tint="0.79998168889431442"/>
        </patternFill>
      </fill>
    </dxf>
    <dxf>
      <font>
        <b/>
        <i val="0"/>
      </font>
      <fill>
        <patternFill>
          <bgColor rgb="FFFDC7D6"/>
        </patternFill>
      </fill>
    </dxf>
    <dxf>
      <fill>
        <patternFill>
          <bgColor rgb="FFFFFFCC"/>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20"/>
      <tableStyleElement type="headerRow" dxfId="119"/>
      <tableStyleElement type="firstRowStripe" dxfId="118"/>
    </tableStyle>
  </tableStyles>
  <colors>
    <mruColors>
      <color rgb="FF99FF66"/>
      <color rgb="FFFFFFCC"/>
      <color rgb="FFFFFFFF"/>
      <color rgb="FFFFC7CE"/>
      <color rgb="FFFFC4FF"/>
      <color rgb="FF0315BD"/>
      <color rgb="FFCCFF66"/>
      <color rgb="FFFDC7D6"/>
      <color rgb="FFFEE2EA"/>
      <color rgb="FFFDD7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  as a % of Expenditures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7797185706470544E-2"/>
          <c:y val="0.15667699698037926"/>
          <c:w val="0.87753647349015773"/>
          <c:h val="0.70688706795084866"/>
        </c:manualLayout>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948-4790-A7B9-1F8BA545F0C2}"/>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948-4790-A7B9-1F8BA545F0C2}"/>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948-4790-A7B9-1F8BA545F0C2}"/>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2022</c:v>
                </c:pt>
                <c:pt idx="1">
                  <c:v>2023</c:v>
                </c:pt>
                <c:pt idx="2" formatCode="General">
                  <c:v>2024</c:v>
                </c:pt>
              </c:numCache>
            </c:numRef>
          </c:cat>
          <c:val>
            <c:numRef>
              <c:f>'Performance  Indicators Print'!$L$11:$N$11</c:f>
              <c:numCache>
                <c:formatCode>0.00%</c:formatCode>
                <c:ptCount val="3"/>
                <c:pt idx="0">
                  <c:v>#N/A</c:v>
                </c:pt>
                <c:pt idx="1">
                  <c:v>#N/A</c:v>
                </c:pt>
                <c:pt idx="2">
                  <c:v>0</c:v>
                </c:pt>
              </c:numCache>
            </c:numRef>
          </c:val>
          <c:extLst>
            <c:ext xmlns:c16="http://schemas.microsoft.com/office/drawing/2014/chart" uri="{C3380CC4-5D6E-409C-BE32-E72D297353CC}">
              <c16:uniqueId val="{00000000-A409-43D6-8C66-73522177D1BF}"/>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820-4E4A-9E55-9678AD123E46}"/>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820-4E4A-9E55-9678AD123E46}"/>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820-4E4A-9E55-9678AD123E4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2022</c:v>
                </c:pt>
                <c:pt idx="1">
                  <c:v>2023</c:v>
                </c:pt>
                <c:pt idx="2" formatCode="General">
                  <c:v>2024</c:v>
                </c:pt>
              </c:numCache>
            </c:numRef>
          </c:cat>
          <c:val>
            <c:numRef>
              <c:f>'Performance  Indicators Print'!$L$16:$N$16</c:f>
              <c:numCache>
                <c:formatCode>0.00</c:formatCode>
                <c:ptCount val="3"/>
                <c:pt idx="0">
                  <c:v>#N/A</c:v>
                </c:pt>
                <c:pt idx="1">
                  <c:v>#N/A</c:v>
                </c:pt>
                <c:pt idx="2">
                  <c:v>0</c:v>
                </c:pt>
              </c:numCache>
            </c:numRef>
          </c:val>
          <c:extLst>
            <c:ext xmlns:c16="http://schemas.microsoft.com/office/drawing/2014/chart" uri="{C3380CC4-5D6E-409C-BE32-E72D297353CC}">
              <c16:uniqueId val="{00000000-1CDB-4C76-BFFC-D1B465011A83}"/>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95-4FC6-84A4-7A5F1ECAFFDB}"/>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95-4FC6-84A4-7A5F1ECAFFDB}"/>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95-4FC6-84A4-7A5F1ECAFFD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2022</c:v>
                </c:pt>
                <c:pt idx="1">
                  <c:v>2023</c:v>
                </c:pt>
                <c:pt idx="2" formatCode="General">
                  <c:v>2024</c:v>
                </c:pt>
              </c:numCache>
            </c:numRef>
          </c:cat>
          <c:val>
            <c:numRef>
              <c:f>'Performance  Indicators Print'!$L$25:$N$25</c:f>
              <c:numCache>
                <c:formatCode>0.00</c:formatCode>
                <c:ptCount val="3"/>
                <c:pt idx="0">
                  <c:v>#N/A</c:v>
                </c:pt>
                <c:pt idx="1">
                  <c:v>#N/A</c:v>
                </c:pt>
                <c:pt idx="2">
                  <c:v>0</c:v>
                </c:pt>
              </c:numCache>
            </c:numRef>
          </c:val>
          <c:extLst>
            <c:ext xmlns:c16="http://schemas.microsoft.com/office/drawing/2014/chart" uri="{C3380CC4-5D6E-409C-BE32-E72D297353CC}">
              <c16:uniqueId val="{00000000-3BE2-4478-82F0-97834E674CDE}"/>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210638</xdr:colOff>
      <xdr:row>10</xdr:row>
      <xdr:rowOff>190500</xdr:rowOff>
    </xdr:from>
    <xdr:to>
      <xdr:col>4</xdr:col>
      <xdr:colOff>850991</xdr:colOff>
      <xdr:row>10</xdr:row>
      <xdr:rowOff>2908391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197847</xdr:colOff>
      <xdr:row>15</xdr:row>
      <xdr:rowOff>66131</xdr:rowOff>
    </xdr:from>
    <xdr:to>
      <xdr:col>4</xdr:col>
      <xdr:colOff>856162</xdr:colOff>
      <xdr:row>15</xdr:row>
      <xdr:rowOff>2410369</xdr:rowOff>
    </xdr:to>
    <xdr:graphicFrame macro="">
      <xdr:nvGraphicFramePr>
        <xdr:cNvPr id="3" name="Chart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163287</xdr:colOff>
      <xdr:row>24</xdr:row>
      <xdr:rowOff>81643</xdr:rowOff>
    </xdr:from>
    <xdr:to>
      <xdr:col>4</xdr:col>
      <xdr:colOff>838201</xdr:colOff>
      <xdr:row>24</xdr:row>
      <xdr:rowOff>2449286</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251460</xdr:colOff>
          <xdr:row>7</xdr:row>
          <xdr:rowOff>83820</xdr:rowOff>
        </xdr:from>
        <xdr:to>
          <xdr:col>6</xdr:col>
          <xdr:colOff>1066800</xdr:colOff>
          <xdr:row>8</xdr:row>
          <xdr:rowOff>1531620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0300-000001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sheetPr codeName="Sheet1"/>
  <dimension ref="B1:N61"/>
  <sheetViews>
    <sheetView tabSelected="1" topLeftCell="A2" zoomScaleNormal="100" workbookViewId="0">
      <selection activeCell="B9" sqref="B8:B9"/>
    </sheetView>
  </sheetViews>
  <sheetFormatPr defaultColWidth="9.109375" defaultRowHeight="14.4" x14ac:dyDescent="0.3"/>
  <cols>
    <col min="1" max="1" width="1.6640625" style="180" customWidth="1"/>
    <col min="2" max="2" width="187.109375" style="180" customWidth="1"/>
    <col min="3" max="4" width="9.109375" style="180" hidden="1" customWidth="1"/>
    <col min="5" max="5" width="2.33203125" style="180" customWidth="1"/>
    <col min="6" max="6" width="16.44140625" style="180" customWidth="1"/>
    <col min="7" max="16384" width="9.109375" style="180"/>
  </cols>
  <sheetData>
    <row r="1" spans="2:14" ht="9.6" customHeight="1" thickBot="1" x14ac:dyDescent="0.35">
      <c r="B1" s="162"/>
    </row>
    <row r="2" spans="2:14" ht="91.95" customHeight="1" thickBot="1" x14ac:dyDescent="0.35">
      <c r="B2" s="531" t="s">
        <v>1954</v>
      </c>
      <c r="E2"/>
    </row>
    <row r="3" spans="2:14" ht="76.2" customHeight="1" thickBot="1" x14ac:dyDescent="0.35">
      <c r="B3" s="972" t="s">
        <v>1914</v>
      </c>
      <c r="C3" s="173"/>
      <c r="D3" s="173"/>
      <c r="E3"/>
      <c r="F3"/>
    </row>
    <row r="4" spans="2:14" ht="58.95" customHeight="1" thickBot="1" x14ac:dyDescent="0.35">
      <c r="B4" s="972" t="s">
        <v>1915</v>
      </c>
      <c r="C4" s="173"/>
      <c r="D4" s="173"/>
    </row>
    <row r="5" spans="2:14" ht="61.2" customHeight="1" x14ac:dyDescent="0.3">
      <c r="B5" s="173" t="s">
        <v>1879</v>
      </c>
    </row>
    <row r="6" spans="2:14" ht="83.4" customHeight="1" x14ac:dyDescent="0.4">
      <c r="B6" s="173" t="s">
        <v>860</v>
      </c>
      <c r="F6" s="532"/>
      <c r="G6" s="532"/>
      <c r="H6" s="532"/>
      <c r="I6" s="532"/>
      <c r="J6" s="532"/>
      <c r="K6" s="532"/>
      <c r="L6" s="532"/>
      <c r="M6" s="532"/>
      <c r="N6" s="532"/>
    </row>
    <row r="7" spans="2:14" ht="58.2" customHeight="1" x14ac:dyDescent="0.3">
      <c r="B7" s="173" t="s">
        <v>861</v>
      </c>
    </row>
    <row r="8" spans="2:14" ht="117.6" customHeight="1" x14ac:dyDescent="0.3">
      <c r="B8" s="163" t="s">
        <v>862</v>
      </c>
    </row>
    <row r="9" spans="2:14" ht="25.95" customHeight="1" x14ac:dyDescent="0.3">
      <c r="B9" s="175" t="s">
        <v>452</v>
      </c>
    </row>
    <row r="10" spans="2:14" ht="49.2" customHeight="1" x14ac:dyDescent="0.3">
      <c r="B10" s="533" t="s">
        <v>863</v>
      </c>
    </row>
    <row r="11" spans="2:14" ht="42.6" customHeight="1" x14ac:dyDescent="0.3">
      <c r="B11" s="533" t="s">
        <v>453</v>
      </c>
    </row>
    <row r="12" spans="2:14" s="535" customFormat="1" ht="34.200000000000003" customHeight="1" x14ac:dyDescent="0.3">
      <c r="B12" s="534" t="s">
        <v>1925</v>
      </c>
    </row>
    <row r="13" spans="2:14" s="535" customFormat="1" ht="55.95" customHeight="1" x14ac:dyDescent="0.3">
      <c r="B13" s="536" t="s">
        <v>864</v>
      </c>
    </row>
    <row r="14" spans="2:14" ht="36" customHeight="1" x14ac:dyDescent="0.3">
      <c r="B14" s="536" t="s">
        <v>865</v>
      </c>
    </row>
    <row r="15" spans="2:14" ht="39" customHeight="1" x14ac:dyDescent="0.3">
      <c r="B15" s="537" t="s">
        <v>866</v>
      </c>
    </row>
    <row r="16" spans="2:14" ht="25.95" customHeight="1" x14ac:dyDescent="0.3">
      <c r="B16" s="175" t="s">
        <v>454</v>
      </c>
    </row>
    <row r="17" spans="2:2" x14ac:dyDescent="0.3">
      <c r="B17" s="162"/>
    </row>
    <row r="18" spans="2:2" x14ac:dyDescent="0.3">
      <c r="B18" s="538" t="s">
        <v>36</v>
      </c>
    </row>
    <row r="19" spans="2:2" ht="15.6" customHeight="1" x14ac:dyDescent="0.3">
      <c r="B19" s="539" t="s">
        <v>867</v>
      </c>
    </row>
    <row r="20" spans="2:2" x14ac:dyDescent="0.3">
      <c r="B20" s="540"/>
    </row>
    <row r="21" spans="2:2" x14ac:dyDescent="0.3">
      <c r="B21" s="538" t="s">
        <v>37</v>
      </c>
    </row>
    <row r="22" spans="2:2" ht="15.6" customHeight="1" x14ac:dyDescent="0.3">
      <c r="B22" s="541" t="s">
        <v>335</v>
      </c>
    </row>
    <row r="23" spans="2:2" ht="13.2" customHeight="1" x14ac:dyDescent="0.3">
      <c r="B23" s="162"/>
    </row>
    <row r="24" spans="2:2" ht="25.95" customHeight="1" x14ac:dyDescent="0.3">
      <c r="B24" s="175" t="s">
        <v>455</v>
      </c>
    </row>
    <row r="25" spans="2:2" s="535" customFormat="1" ht="72.599999999999994" customHeight="1" x14ac:dyDescent="0.3">
      <c r="B25" s="533" t="s">
        <v>1486</v>
      </c>
    </row>
    <row r="26" spans="2:2" s="535" customFormat="1" ht="84.6" customHeight="1" x14ac:dyDescent="0.3">
      <c r="B26" s="533" t="s">
        <v>868</v>
      </c>
    </row>
    <row r="27" spans="2:2" s="535" customFormat="1" ht="78.599999999999994" customHeight="1" x14ac:dyDescent="0.3">
      <c r="B27" s="533" t="s">
        <v>456</v>
      </c>
    </row>
    <row r="28" spans="2:2" ht="15" x14ac:dyDescent="0.3">
      <c r="B28" s="165" t="s">
        <v>869</v>
      </c>
    </row>
    <row r="29" spans="2:2" ht="8.4" customHeight="1" x14ac:dyDescent="0.3">
      <c r="B29" s="164"/>
    </row>
    <row r="30" spans="2:2" ht="25.95" customHeight="1" x14ac:dyDescent="0.3">
      <c r="B30" s="175" t="s">
        <v>870</v>
      </c>
    </row>
    <row r="31" spans="2:2" ht="28.95" customHeight="1" x14ac:dyDescent="0.3">
      <c r="B31" s="176" t="s">
        <v>1955</v>
      </c>
    </row>
    <row r="32" spans="2:2" ht="31.95" customHeight="1" x14ac:dyDescent="0.3">
      <c r="B32" s="176" t="s">
        <v>1956</v>
      </c>
    </row>
    <row r="33" spans="2:7" ht="30.6" customHeight="1" x14ac:dyDescent="0.3">
      <c r="B33" s="542" t="s">
        <v>1957</v>
      </c>
    </row>
    <row r="34" spans="2:7" ht="25.2" customHeight="1" x14ac:dyDescent="0.3">
      <c r="B34" s="542" t="s">
        <v>1958</v>
      </c>
    </row>
    <row r="35" spans="2:7" ht="27.6" customHeight="1" x14ac:dyDescent="0.3">
      <c r="B35" s="542" t="s">
        <v>1959</v>
      </c>
    </row>
    <row r="36" spans="2:7" ht="31.95" customHeight="1" x14ac:dyDescent="0.3">
      <c r="B36" s="543" t="s">
        <v>871</v>
      </c>
    </row>
    <row r="37" spans="2:7" ht="60" customHeight="1" x14ac:dyDescent="0.3">
      <c r="B37" s="176" t="s">
        <v>1964</v>
      </c>
    </row>
    <row r="38" spans="2:7" ht="60" customHeight="1" x14ac:dyDescent="0.3">
      <c r="B38" s="661" t="s">
        <v>1960</v>
      </c>
    </row>
    <row r="39" spans="2:7" ht="25.95" customHeight="1" x14ac:dyDescent="0.3">
      <c r="B39" s="176" t="s">
        <v>872</v>
      </c>
    </row>
    <row r="40" spans="2:7" ht="12" customHeight="1" x14ac:dyDescent="0.3">
      <c r="B40" s="176"/>
    </row>
    <row r="41" spans="2:7" ht="25.95" customHeight="1" x14ac:dyDescent="0.3">
      <c r="B41" s="175" t="s">
        <v>1961</v>
      </c>
    </row>
    <row r="42" spans="2:7" x14ac:dyDescent="0.3">
      <c r="B42" s="174"/>
      <c r="G42" s="544"/>
    </row>
    <row r="43" spans="2:7" ht="43.2" customHeight="1" x14ac:dyDescent="0.3">
      <c r="B43" s="545" t="s">
        <v>873</v>
      </c>
    </row>
    <row r="44" spans="2:7" ht="19.95" customHeight="1" x14ac:dyDescent="0.3">
      <c r="B44" s="546" t="s">
        <v>866</v>
      </c>
    </row>
    <row r="45" spans="2:7" ht="11.4" customHeight="1" x14ac:dyDescent="0.3">
      <c r="B45" s="177"/>
    </row>
    <row r="46" spans="2:7" ht="15" x14ac:dyDescent="0.3">
      <c r="B46" s="178"/>
    </row>
    <row r="47" spans="2:7" ht="7.2" customHeight="1" x14ac:dyDescent="0.3">
      <c r="B47" s="176"/>
    </row>
    <row r="48" spans="2:7" ht="25.95" customHeight="1" x14ac:dyDescent="0.3">
      <c r="B48" s="175" t="s">
        <v>1962</v>
      </c>
    </row>
    <row r="49" spans="2:2" ht="35.4" customHeight="1" x14ac:dyDescent="0.3">
      <c r="B49" s="545" t="s">
        <v>1963</v>
      </c>
    </row>
    <row r="50" spans="2:2" ht="15" x14ac:dyDescent="0.3">
      <c r="B50" s="178"/>
    </row>
    <row r="61" spans="2:2" ht="44.25" customHeight="1" x14ac:dyDescent="0.3"/>
  </sheetData>
  <sheetProtection algorithmName="SHA-512" hashValue="ijguXuZM5m02X8VomkBdGzVW1LTT3880S8W675AtyCExj0U1icEVCvknUkSiXMtwibaw5cGDFAuhGCaZ7Nm5MQ==" saltValue="dRx7i1NTsVHa/cJz7Xg5dg==" spinCount="100000" sheet="1" formatCells="0" formatColumns="0" formatRows="0"/>
  <hyperlinks>
    <hyperlink ref="B19" r:id="rId1" xr:uid="{C1F6514A-E8A6-43E5-A86A-05C7A391046B}"/>
    <hyperlink ref="B22" r:id="rId2" xr:uid="{B1541227-3D45-4870-904D-604AA0D245A4}"/>
    <hyperlink ref="B44" r:id="rId3" xr:uid="{4A9D302D-DF03-4083-B0C5-61ACF65C0239}"/>
    <hyperlink ref="B15" r:id="rId4" xr:uid="{C422E034-BC33-4433-9232-B9B4AB71E050}"/>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filterMode="1"/>
  <dimension ref="A1:M150"/>
  <sheetViews>
    <sheetView topLeftCell="A113" workbookViewId="0">
      <selection activeCell="N145" sqref="N145"/>
    </sheetView>
  </sheetViews>
  <sheetFormatPr defaultRowHeight="14.4" x14ac:dyDescent="0.3"/>
  <cols>
    <col min="1" max="1" width="20.6640625" style="606" customWidth="1"/>
    <col min="2" max="2" width="24.6640625" style="606" customWidth="1"/>
    <col min="3" max="3" width="11.33203125" style="791" customWidth="1"/>
    <col min="4" max="4" width="12.109375" style="607" customWidth="1"/>
    <col min="5" max="5" width="14.33203125" style="607" customWidth="1"/>
    <col min="6" max="6" width="3.44140625" style="606" customWidth="1"/>
    <col min="7" max="7" width="17.33203125" style="606" customWidth="1"/>
    <col min="8" max="8" width="2.109375" style="606" customWidth="1"/>
    <col min="9" max="9" width="7.5546875" style="791" customWidth="1"/>
    <col min="10" max="10" width="12.109375" style="607" customWidth="1"/>
    <col min="11" max="11" width="14.33203125" style="607" customWidth="1"/>
    <col min="12" max="251" width="8.88671875" style="606"/>
    <col min="252" max="252" width="15.88671875" style="606" customWidth="1"/>
    <col min="253" max="253" width="2.109375" style="606" customWidth="1"/>
    <col min="254" max="254" width="7.5546875" style="606" customWidth="1"/>
    <col min="255" max="255" width="12.109375" style="606" customWidth="1"/>
    <col min="256" max="256" width="14.33203125" style="606" customWidth="1"/>
    <col min="257" max="257" width="3.44140625" style="606" customWidth="1"/>
    <col min="258" max="258" width="17.33203125" style="606" customWidth="1"/>
    <col min="259" max="259" width="2.109375" style="606" customWidth="1"/>
    <col min="260" max="260" width="7.5546875" style="606" customWidth="1"/>
    <col min="261" max="261" width="12.109375" style="606" customWidth="1"/>
    <col min="262" max="262" width="14.33203125" style="606" customWidth="1"/>
    <col min="263" max="263" width="42.5546875" style="606" customWidth="1"/>
    <col min="264" max="507" width="8.88671875" style="606"/>
    <col min="508" max="508" width="15.88671875" style="606" customWidth="1"/>
    <col min="509" max="509" width="2.109375" style="606" customWidth="1"/>
    <col min="510" max="510" width="7.5546875" style="606" customWidth="1"/>
    <col min="511" max="511" width="12.109375" style="606" customWidth="1"/>
    <col min="512" max="512" width="14.33203125" style="606" customWidth="1"/>
    <col min="513" max="513" width="3.44140625" style="606" customWidth="1"/>
    <col min="514" max="514" width="17.33203125" style="606" customWidth="1"/>
    <col min="515" max="515" width="2.109375" style="606" customWidth="1"/>
    <col min="516" max="516" width="7.5546875" style="606" customWidth="1"/>
    <col min="517" max="517" width="12.109375" style="606" customWidth="1"/>
    <col min="518" max="518" width="14.33203125" style="606" customWidth="1"/>
    <col min="519" max="519" width="42.5546875" style="606" customWidth="1"/>
    <col min="520" max="763" width="8.88671875" style="606"/>
    <col min="764" max="764" width="15.88671875" style="606" customWidth="1"/>
    <col min="765" max="765" width="2.109375" style="606" customWidth="1"/>
    <col min="766" max="766" width="7.5546875" style="606" customWidth="1"/>
    <col min="767" max="767" width="12.109375" style="606" customWidth="1"/>
    <col min="768" max="768" width="14.33203125" style="606" customWidth="1"/>
    <col min="769" max="769" width="3.44140625" style="606" customWidth="1"/>
    <col min="770" max="770" width="17.33203125" style="606" customWidth="1"/>
    <col min="771" max="771" width="2.109375" style="606" customWidth="1"/>
    <col min="772" max="772" width="7.5546875" style="606" customWidth="1"/>
    <col min="773" max="773" width="12.109375" style="606" customWidth="1"/>
    <col min="774" max="774" width="14.33203125" style="606" customWidth="1"/>
    <col min="775" max="775" width="42.5546875" style="606" customWidth="1"/>
    <col min="776" max="1019" width="8.88671875" style="606"/>
    <col min="1020" max="1020" width="15.88671875" style="606" customWidth="1"/>
    <col min="1021" max="1021" width="2.109375" style="606" customWidth="1"/>
    <col min="1022" max="1022" width="7.5546875" style="606" customWidth="1"/>
    <col min="1023" max="1023" width="12.109375" style="606" customWidth="1"/>
    <col min="1024" max="1024" width="14.33203125" style="606" customWidth="1"/>
    <col min="1025" max="1025" width="3.44140625" style="606" customWidth="1"/>
    <col min="1026" max="1026" width="17.33203125" style="606" customWidth="1"/>
    <col min="1027" max="1027" width="2.109375" style="606" customWidth="1"/>
    <col min="1028" max="1028" width="7.5546875" style="606" customWidth="1"/>
    <col min="1029" max="1029" width="12.109375" style="606" customWidth="1"/>
    <col min="1030" max="1030" width="14.33203125" style="606" customWidth="1"/>
    <col min="1031" max="1031" width="42.5546875" style="606" customWidth="1"/>
    <col min="1032" max="1275" width="8.88671875" style="606"/>
    <col min="1276" max="1276" width="15.88671875" style="606" customWidth="1"/>
    <col min="1277" max="1277" width="2.109375" style="606" customWidth="1"/>
    <col min="1278" max="1278" width="7.5546875" style="606" customWidth="1"/>
    <col min="1279" max="1279" width="12.109375" style="606" customWidth="1"/>
    <col min="1280" max="1280" width="14.33203125" style="606" customWidth="1"/>
    <col min="1281" max="1281" width="3.44140625" style="606" customWidth="1"/>
    <col min="1282" max="1282" width="17.33203125" style="606" customWidth="1"/>
    <col min="1283" max="1283" width="2.109375" style="606" customWidth="1"/>
    <col min="1284" max="1284" width="7.5546875" style="606" customWidth="1"/>
    <col min="1285" max="1285" width="12.109375" style="606" customWidth="1"/>
    <col min="1286" max="1286" width="14.33203125" style="606" customWidth="1"/>
    <col min="1287" max="1287" width="42.5546875" style="606" customWidth="1"/>
    <col min="1288" max="1531" width="8.88671875" style="606"/>
    <col min="1532" max="1532" width="15.88671875" style="606" customWidth="1"/>
    <col min="1533" max="1533" width="2.109375" style="606" customWidth="1"/>
    <col min="1534" max="1534" width="7.5546875" style="606" customWidth="1"/>
    <col min="1535" max="1535" width="12.109375" style="606" customWidth="1"/>
    <col min="1536" max="1536" width="14.33203125" style="606" customWidth="1"/>
    <col min="1537" max="1537" width="3.44140625" style="606" customWidth="1"/>
    <col min="1538" max="1538" width="17.33203125" style="606" customWidth="1"/>
    <col min="1539" max="1539" width="2.109375" style="606" customWidth="1"/>
    <col min="1540" max="1540" width="7.5546875" style="606" customWidth="1"/>
    <col min="1541" max="1541" width="12.109375" style="606" customWidth="1"/>
    <col min="1542" max="1542" width="14.33203125" style="606" customWidth="1"/>
    <col min="1543" max="1543" width="42.5546875" style="606" customWidth="1"/>
    <col min="1544" max="1787" width="8.88671875" style="606"/>
    <col min="1788" max="1788" width="15.88671875" style="606" customWidth="1"/>
    <col min="1789" max="1789" width="2.109375" style="606" customWidth="1"/>
    <col min="1790" max="1790" width="7.5546875" style="606" customWidth="1"/>
    <col min="1791" max="1791" width="12.109375" style="606" customWidth="1"/>
    <col min="1792" max="1792" width="14.33203125" style="606" customWidth="1"/>
    <col min="1793" max="1793" width="3.44140625" style="606" customWidth="1"/>
    <col min="1794" max="1794" width="17.33203125" style="606" customWidth="1"/>
    <col min="1795" max="1795" width="2.109375" style="606" customWidth="1"/>
    <col min="1796" max="1796" width="7.5546875" style="606" customWidth="1"/>
    <col min="1797" max="1797" width="12.109375" style="606" customWidth="1"/>
    <col min="1798" max="1798" width="14.33203125" style="606" customWidth="1"/>
    <col min="1799" max="1799" width="42.5546875" style="606" customWidth="1"/>
    <col min="1800" max="2043" width="8.88671875" style="606"/>
    <col min="2044" max="2044" width="15.88671875" style="606" customWidth="1"/>
    <col min="2045" max="2045" width="2.109375" style="606" customWidth="1"/>
    <col min="2046" max="2046" width="7.5546875" style="606" customWidth="1"/>
    <col min="2047" max="2047" width="12.109375" style="606" customWidth="1"/>
    <col min="2048" max="2048" width="14.33203125" style="606" customWidth="1"/>
    <col min="2049" max="2049" width="3.44140625" style="606" customWidth="1"/>
    <col min="2050" max="2050" width="17.33203125" style="606" customWidth="1"/>
    <col min="2051" max="2051" width="2.109375" style="606" customWidth="1"/>
    <col min="2052" max="2052" width="7.5546875" style="606" customWidth="1"/>
    <col min="2053" max="2053" width="12.109375" style="606" customWidth="1"/>
    <col min="2054" max="2054" width="14.33203125" style="606" customWidth="1"/>
    <col min="2055" max="2055" width="42.5546875" style="606" customWidth="1"/>
    <col min="2056" max="2299" width="8.88671875" style="606"/>
    <col min="2300" max="2300" width="15.88671875" style="606" customWidth="1"/>
    <col min="2301" max="2301" width="2.109375" style="606" customWidth="1"/>
    <col min="2302" max="2302" width="7.5546875" style="606" customWidth="1"/>
    <col min="2303" max="2303" width="12.109375" style="606" customWidth="1"/>
    <col min="2304" max="2304" width="14.33203125" style="606" customWidth="1"/>
    <col min="2305" max="2305" width="3.44140625" style="606" customWidth="1"/>
    <col min="2306" max="2306" width="17.33203125" style="606" customWidth="1"/>
    <col min="2307" max="2307" width="2.109375" style="606" customWidth="1"/>
    <col min="2308" max="2308" width="7.5546875" style="606" customWidth="1"/>
    <col min="2309" max="2309" width="12.109375" style="606" customWidth="1"/>
    <col min="2310" max="2310" width="14.33203125" style="606" customWidth="1"/>
    <col min="2311" max="2311" width="42.5546875" style="606" customWidth="1"/>
    <col min="2312" max="2555" width="8.88671875" style="606"/>
    <col min="2556" max="2556" width="15.88671875" style="606" customWidth="1"/>
    <col min="2557" max="2557" width="2.109375" style="606" customWidth="1"/>
    <col min="2558" max="2558" width="7.5546875" style="606" customWidth="1"/>
    <col min="2559" max="2559" width="12.109375" style="606" customWidth="1"/>
    <col min="2560" max="2560" width="14.33203125" style="606" customWidth="1"/>
    <col min="2561" max="2561" width="3.44140625" style="606" customWidth="1"/>
    <col min="2562" max="2562" width="17.33203125" style="606" customWidth="1"/>
    <col min="2563" max="2563" width="2.109375" style="606" customWidth="1"/>
    <col min="2564" max="2564" width="7.5546875" style="606" customWidth="1"/>
    <col min="2565" max="2565" width="12.109375" style="606" customWidth="1"/>
    <col min="2566" max="2566" width="14.33203125" style="606" customWidth="1"/>
    <col min="2567" max="2567" width="42.5546875" style="606" customWidth="1"/>
    <col min="2568" max="2811" width="8.88671875" style="606"/>
    <col min="2812" max="2812" width="15.88671875" style="606" customWidth="1"/>
    <col min="2813" max="2813" width="2.109375" style="606" customWidth="1"/>
    <col min="2814" max="2814" width="7.5546875" style="606" customWidth="1"/>
    <col min="2815" max="2815" width="12.109375" style="606" customWidth="1"/>
    <col min="2816" max="2816" width="14.33203125" style="606" customWidth="1"/>
    <col min="2817" max="2817" width="3.44140625" style="606" customWidth="1"/>
    <col min="2818" max="2818" width="17.33203125" style="606" customWidth="1"/>
    <col min="2819" max="2819" width="2.109375" style="606" customWidth="1"/>
    <col min="2820" max="2820" width="7.5546875" style="606" customWidth="1"/>
    <col min="2821" max="2821" width="12.109375" style="606" customWidth="1"/>
    <col min="2822" max="2822" width="14.33203125" style="606" customWidth="1"/>
    <col min="2823" max="2823" width="42.5546875" style="606" customWidth="1"/>
    <col min="2824" max="3067" width="8.88671875" style="606"/>
    <col min="3068" max="3068" width="15.88671875" style="606" customWidth="1"/>
    <col min="3069" max="3069" width="2.109375" style="606" customWidth="1"/>
    <col min="3070" max="3070" width="7.5546875" style="606" customWidth="1"/>
    <col min="3071" max="3071" width="12.109375" style="606" customWidth="1"/>
    <col min="3072" max="3072" width="14.33203125" style="606" customWidth="1"/>
    <col min="3073" max="3073" width="3.44140625" style="606" customWidth="1"/>
    <col min="3074" max="3074" width="17.33203125" style="606" customWidth="1"/>
    <col min="3075" max="3075" width="2.109375" style="606" customWidth="1"/>
    <col min="3076" max="3076" width="7.5546875" style="606" customWidth="1"/>
    <col min="3077" max="3077" width="12.109375" style="606" customWidth="1"/>
    <col min="3078" max="3078" width="14.33203125" style="606" customWidth="1"/>
    <col min="3079" max="3079" width="42.5546875" style="606" customWidth="1"/>
    <col min="3080" max="3323" width="8.88671875" style="606"/>
    <col min="3324" max="3324" width="15.88671875" style="606" customWidth="1"/>
    <col min="3325" max="3325" width="2.109375" style="606" customWidth="1"/>
    <col min="3326" max="3326" width="7.5546875" style="606" customWidth="1"/>
    <col min="3327" max="3327" width="12.109375" style="606" customWidth="1"/>
    <col min="3328" max="3328" width="14.33203125" style="606" customWidth="1"/>
    <col min="3329" max="3329" width="3.44140625" style="606" customWidth="1"/>
    <col min="3330" max="3330" width="17.33203125" style="606" customWidth="1"/>
    <col min="3331" max="3331" width="2.109375" style="606" customWidth="1"/>
    <col min="3332" max="3332" width="7.5546875" style="606" customWidth="1"/>
    <col min="3333" max="3333" width="12.109375" style="606" customWidth="1"/>
    <col min="3334" max="3334" width="14.33203125" style="606" customWidth="1"/>
    <col min="3335" max="3335" width="42.5546875" style="606" customWidth="1"/>
    <col min="3336" max="3579" width="8.88671875" style="606"/>
    <col min="3580" max="3580" width="15.88671875" style="606" customWidth="1"/>
    <col min="3581" max="3581" width="2.109375" style="606" customWidth="1"/>
    <col min="3582" max="3582" width="7.5546875" style="606" customWidth="1"/>
    <col min="3583" max="3583" width="12.109375" style="606" customWidth="1"/>
    <col min="3584" max="3584" width="14.33203125" style="606" customWidth="1"/>
    <col min="3585" max="3585" width="3.44140625" style="606" customWidth="1"/>
    <col min="3586" max="3586" width="17.33203125" style="606" customWidth="1"/>
    <col min="3587" max="3587" width="2.109375" style="606" customWidth="1"/>
    <col min="3588" max="3588" width="7.5546875" style="606" customWidth="1"/>
    <col min="3589" max="3589" width="12.109375" style="606" customWidth="1"/>
    <col min="3590" max="3590" width="14.33203125" style="606" customWidth="1"/>
    <col min="3591" max="3591" width="42.5546875" style="606" customWidth="1"/>
    <col min="3592" max="3835" width="8.88671875" style="606"/>
    <col min="3836" max="3836" width="15.88671875" style="606" customWidth="1"/>
    <col min="3837" max="3837" width="2.109375" style="606" customWidth="1"/>
    <col min="3838" max="3838" width="7.5546875" style="606" customWidth="1"/>
    <col min="3839" max="3839" width="12.109375" style="606" customWidth="1"/>
    <col min="3840" max="3840" width="14.33203125" style="606" customWidth="1"/>
    <col min="3841" max="3841" width="3.44140625" style="606" customWidth="1"/>
    <col min="3842" max="3842" width="17.33203125" style="606" customWidth="1"/>
    <col min="3843" max="3843" width="2.109375" style="606" customWidth="1"/>
    <col min="3844" max="3844" width="7.5546875" style="606" customWidth="1"/>
    <col min="3845" max="3845" width="12.109375" style="606" customWidth="1"/>
    <col min="3846" max="3846" width="14.33203125" style="606" customWidth="1"/>
    <col min="3847" max="3847" width="42.5546875" style="606" customWidth="1"/>
    <col min="3848" max="4091" width="8.88671875" style="606"/>
    <col min="4092" max="4092" width="15.88671875" style="606" customWidth="1"/>
    <col min="4093" max="4093" width="2.109375" style="606" customWidth="1"/>
    <col min="4094" max="4094" width="7.5546875" style="606" customWidth="1"/>
    <col min="4095" max="4095" width="12.109375" style="606" customWidth="1"/>
    <col min="4096" max="4096" width="14.33203125" style="606" customWidth="1"/>
    <col min="4097" max="4097" width="3.44140625" style="606" customWidth="1"/>
    <col min="4098" max="4098" width="17.33203125" style="606" customWidth="1"/>
    <col min="4099" max="4099" width="2.109375" style="606" customWidth="1"/>
    <col min="4100" max="4100" width="7.5546875" style="606" customWidth="1"/>
    <col min="4101" max="4101" width="12.109375" style="606" customWidth="1"/>
    <col min="4102" max="4102" width="14.33203125" style="606" customWidth="1"/>
    <col min="4103" max="4103" width="42.5546875" style="606" customWidth="1"/>
    <col min="4104" max="4347" width="8.88671875" style="606"/>
    <col min="4348" max="4348" width="15.88671875" style="606" customWidth="1"/>
    <col min="4349" max="4349" width="2.109375" style="606" customWidth="1"/>
    <col min="4350" max="4350" width="7.5546875" style="606" customWidth="1"/>
    <col min="4351" max="4351" width="12.109375" style="606" customWidth="1"/>
    <col min="4352" max="4352" width="14.33203125" style="606" customWidth="1"/>
    <col min="4353" max="4353" width="3.44140625" style="606" customWidth="1"/>
    <col min="4354" max="4354" width="17.33203125" style="606" customWidth="1"/>
    <col min="4355" max="4355" width="2.109375" style="606" customWidth="1"/>
    <col min="4356" max="4356" width="7.5546875" style="606" customWidth="1"/>
    <col min="4357" max="4357" width="12.109375" style="606" customWidth="1"/>
    <col min="4358" max="4358" width="14.33203125" style="606" customWidth="1"/>
    <col min="4359" max="4359" width="42.5546875" style="606" customWidth="1"/>
    <col min="4360" max="4603" width="8.88671875" style="606"/>
    <col min="4604" max="4604" width="15.88671875" style="606" customWidth="1"/>
    <col min="4605" max="4605" width="2.109375" style="606" customWidth="1"/>
    <col min="4606" max="4606" width="7.5546875" style="606" customWidth="1"/>
    <col min="4607" max="4607" width="12.109375" style="606" customWidth="1"/>
    <col min="4608" max="4608" width="14.33203125" style="606" customWidth="1"/>
    <col min="4609" max="4609" width="3.44140625" style="606" customWidth="1"/>
    <col min="4610" max="4610" width="17.33203125" style="606" customWidth="1"/>
    <col min="4611" max="4611" width="2.109375" style="606" customWidth="1"/>
    <col min="4612" max="4612" width="7.5546875" style="606" customWidth="1"/>
    <col min="4613" max="4613" width="12.109375" style="606" customWidth="1"/>
    <col min="4614" max="4614" width="14.33203125" style="606" customWidth="1"/>
    <col min="4615" max="4615" width="42.5546875" style="606" customWidth="1"/>
    <col min="4616" max="4859" width="8.88671875" style="606"/>
    <col min="4860" max="4860" width="15.88671875" style="606" customWidth="1"/>
    <col min="4861" max="4861" width="2.109375" style="606" customWidth="1"/>
    <col min="4862" max="4862" width="7.5546875" style="606" customWidth="1"/>
    <col min="4863" max="4863" width="12.109375" style="606" customWidth="1"/>
    <col min="4864" max="4864" width="14.33203125" style="606" customWidth="1"/>
    <col min="4865" max="4865" width="3.44140625" style="606" customWidth="1"/>
    <col min="4866" max="4866" width="17.33203125" style="606" customWidth="1"/>
    <col min="4867" max="4867" width="2.109375" style="606" customWidth="1"/>
    <col min="4868" max="4868" width="7.5546875" style="606" customWidth="1"/>
    <col min="4869" max="4869" width="12.109375" style="606" customWidth="1"/>
    <col min="4870" max="4870" width="14.33203125" style="606" customWidth="1"/>
    <col min="4871" max="4871" width="42.5546875" style="606" customWidth="1"/>
    <col min="4872" max="5115" width="8.88671875" style="606"/>
    <col min="5116" max="5116" width="15.88671875" style="606" customWidth="1"/>
    <col min="5117" max="5117" width="2.109375" style="606" customWidth="1"/>
    <col min="5118" max="5118" width="7.5546875" style="606" customWidth="1"/>
    <col min="5119" max="5119" width="12.109375" style="606" customWidth="1"/>
    <col min="5120" max="5120" width="14.33203125" style="606" customWidth="1"/>
    <col min="5121" max="5121" width="3.44140625" style="606" customWidth="1"/>
    <col min="5122" max="5122" width="17.33203125" style="606" customWidth="1"/>
    <col min="5123" max="5123" width="2.109375" style="606" customWidth="1"/>
    <col min="5124" max="5124" width="7.5546875" style="606" customWidth="1"/>
    <col min="5125" max="5125" width="12.109375" style="606" customWidth="1"/>
    <col min="5126" max="5126" width="14.33203125" style="606" customWidth="1"/>
    <col min="5127" max="5127" width="42.5546875" style="606" customWidth="1"/>
    <col min="5128" max="5371" width="8.88671875" style="606"/>
    <col min="5372" max="5372" width="15.88671875" style="606" customWidth="1"/>
    <col min="5373" max="5373" width="2.109375" style="606" customWidth="1"/>
    <col min="5374" max="5374" width="7.5546875" style="606" customWidth="1"/>
    <col min="5375" max="5375" width="12.109375" style="606" customWidth="1"/>
    <col min="5376" max="5376" width="14.33203125" style="606" customWidth="1"/>
    <col min="5377" max="5377" width="3.44140625" style="606" customWidth="1"/>
    <col min="5378" max="5378" width="17.33203125" style="606" customWidth="1"/>
    <col min="5379" max="5379" width="2.109375" style="606" customWidth="1"/>
    <col min="5380" max="5380" width="7.5546875" style="606" customWidth="1"/>
    <col min="5381" max="5381" width="12.109375" style="606" customWidth="1"/>
    <col min="5382" max="5382" width="14.33203125" style="606" customWidth="1"/>
    <col min="5383" max="5383" width="42.5546875" style="606" customWidth="1"/>
    <col min="5384" max="5627" width="8.88671875" style="606"/>
    <col min="5628" max="5628" width="15.88671875" style="606" customWidth="1"/>
    <col min="5629" max="5629" width="2.109375" style="606" customWidth="1"/>
    <col min="5630" max="5630" width="7.5546875" style="606" customWidth="1"/>
    <col min="5631" max="5631" width="12.109375" style="606" customWidth="1"/>
    <col min="5632" max="5632" width="14.33203125" style="606" customWidth="1"/>
    <col min="5633" max="5633" width="3.44140625" style="606" customWidth="1"/>
    <col min="5634" max="5634" width="17.33203125" style="606" customWidth="1"/>
    <col min="5635" max="5635" width="2.109375" style="606" customWidth="1"/>
    <col min="5636" max="5636" width="7.5546875" style="606" customWidth="1"/>
    <col min="5637" max="5637" width="12.109375" style="606" customWidth="1"/>
    <col min="5638" max="5638" width="14.33203125" style="606" customWidth="1"/>
    <col min="5639" max="5639" width="42.5546875" style="606" customWidth="1"/>
    <col min="5640" max="5883" width="8.88671875" style="606"/>
    <col min="5884" max="5884" width="15.88671875" style="606" customWidth="1"/>
    <col min="5885" max="5885" width="2.109375" style="606" customWidth="1"/>
    <col min="5886" max="5886" width="7.5546875" style="606" customWidth="1"/>
    <col min="5887" max="5887" width="12.109375" style="606" customWidth="1"/>
    <col min="5888" max="5888" width="14.33203125" style="606" customWidth="1"/>
    <col min="5889" max="5889" width="3.44140625" style="606" customWidth="1"/>
    <col min="5890" max="5890" width="17.33203125" style="606" customWidth="1"/>
    <col min="5891" max="5891" width="2.109375" style="606" customWidth="1"/>
    <col min="5892" max="5892" width="7.5546875" style="606" customWidth="1"/>
    <col min="5893" max="5893" width="12.109375" style="606" customWidth="1"/>
    <col min="5894" max="5894" width="14.33203125" style="606" customWidth="1"/>
    <col min="5895" max="5895" width="42.5546875" style="606" customWidth="1"/>
    <col min="5896" max="6139" width="8.88671875" style="606"/>
    <col min="6140" max="6140" width="15.88671875" style="606" customWidth="1"/>
    <col min="6141" max="6141" width="2.109375" style="606" customWidth="1"/>
    <col min="6142" max="6142" width="7.5546875" style="606" customWidth="1"/>
    <col min="6143" max="6143" width="12.109375" style="606" customWidth="1"/>
    <col min="6144" max="6144" width="14.33203125" style="606" customWidth="1"/>
    <col min="6145" max="6145" width="3.44140625" style="606" customWidth="1"/>
    <col min="6146" max="6146" width="17.33203125" style="606" customWidth="1"/>
    <col min="6147" max="6147" width="2.109375" style="606" customWidth="1"/>
    <col min="6148" max="6148" width="7.5546875" style="606" customWidth="1"/>
    <col min="6149" max="6149" width="12.109375" style="606" customWidth="1"/>
    <col min="6150" max="6150" width="14.33203125" style="606" customWidth="1"/>
    <col min="6151" max="6151" width="42.5546875" style="606" customWidth="1"/>
    <col min="6152" max="6395" width="8.88671875" style="606"/>
    <col min="6396" max="6396" width="15.88671875" style="606" customWidth="1"/>
    <col min="6397" max="6397" width="2.109375" style="606" customWidth="1"/>
    <col min="6398" max="6398" width="7.5546875" style="606" customWidth="1"/>
    <col min="6399" max="6399" width="12.109375" style="606" customWidth="1"/>
    <col min="6400" max="6400" width="14.33203125" style="606" customWidth="1"/>
    <col min="6401" max="6401" width="3.44140625" style="606" customWidth="1"/>
    <col min="6402" max="6402" width="17.33203125" style="606" customWidth="1"/>
    <col min="6403" max="6403" width="2.109375" style="606" customWidth="1"/>
    <col min="6404" max="6404" width="7.5546875" style="606" customWidth="1"/>
    <col min="6405" max="6405" width="12.109375" style="606" customWidth="1"/>
    <col min="6406" max="6406" width="14.33203125" style="606" customWidth="1"/>
    <col min="6407" max="6407" width="42.5546875" style="606" customWidth="1"/>
    <col min="6408" max="6651" width="8.88671875" style="606"/>
    <col min="6652" max="6652" width="15.88671875" style="606" customWidth="1"/>
    <col min="6653" max="6653" width="2.109375" style="606" customWidth="1"/>
    <col min="6654" max="6654" width="7.5546875" style="606" customWidth="1"/>
    <col min="6655" max="6655" width="12.109375" style="606" customWidth="1"/>
    <col min="6656" max="6656" width="14.33203125" style="606" customWidth="1"/>
    <col min="6657" max="6657" width="3.44140625" style="606" customWidth="1"/>
    <col min="6658" max="6658" width="17.33203125" style="606" customWidth="1"/>
    <col min="6659" max="6659" width="2.109375" style="606" customWidth="1"/>
    <col min="6660" max="6660" width="7.5546875" style="606" customWidth="1"/>
    <col min="6661" max="6661" width="12.109375" style="606" customWidth="1"/>
    <col min="6662" max="6662" width="14.33203125" style="606" customWidth="1"/>
    <col min="6663" max="6663" width="42.5546875" style="606" customWidth="1"/>
    <col min="6664" max="6907" width="8.88671875" style="606"/>
    <col min="6908" max="6908" width="15.88671875" style="606" customWidth="1"/>
    <col min="6909" max="6909" width="2.109375" style="606" customWidth="1"/>
    <col min="6910" max="6910" width="7.5546875" style="606" customWidth="1"/>
    <col min="6911" max="6911" width="12.109375" style="606" customWidth="1"/>
    <col min="6912" max="6912" width="14.33203125" style="606" customWidth="1"/>
    <col min="6913" max="6913" width="3.44140625" style="606" customWidth="1"/>
    <col min="6914" max="6914" width="17.33203125" style="606" customWidth="1"/>
    <col min="6915" max="6915" width="2.109375" style="606" customWidth="1"/>
    <col min="6916" max="6916" width="7.5546875" style="606" customWidth="1"/>
    <col min="6917" max="6917" width="12.109375" style="606" customWidth="1"/>
    <col min="6918" max="6918" width="14.33203125" style="606" customWidth="1"/>
    <col min="6919" max="6919" width="42.5546875" style="606" customWidth="1"/>
    <col min="6920" max="7163" width="8.88671875" style="606"/>
    <col min="7164" max="7164" width="15.88671875" style="606" customWidth="1"/>
    <col min="7165" max="7165" width="2.109375" style="606" customWidth="1"/>
    <col min="7166" max="7166" width="7.5546875" style="606" customWidth="1"/>
    <col min="7167" max="7167" width="12.109375" style="606" customWidth="1"/>
    <col min="7168" max="7168" width="14.33203125" style="606" customWidth="1"/>
    <col min="7169" max="7169" width="3.44140625" style="606" customWidth="1"/>
    <col min="7170" max="7170" width="17.33203125" style="606" customWidth="1"/>
    <col min="7171" max="7171" width="2.109375" style="606" customWidth="1"/>
    <col min="7172" max="7172" width="7.5546875" style="606" customWidth="1"/>
    <col min="7173" max="7173" width="12.109375" style="606" customWidth="1"/>
    <col min="7174" max="7174" width="14.33203125" style="606" customWidth="1"/>
    <col min="7175" max="7175" width="42.5546875" style="606" customWidth="1"/>
    <col min="7176" max="7419" width="8.88671875" style="606"/>
    <col min="7420" max="7420" width="15.88671875" style="606" customWidth="1"/>
    <col min="7421" max="7421" width="2.109375" style="606" customWidth="1"/>
    <col min="7422" max="7422" width="7.5546875" style="606" customWidth="1"/>
    <col min="7423" max="7423" width="12.109375" style="606" customWidth="1"/>
    <col min="7424" max="7424" width="14.33203125" style="606" customWidth="1"/>
    <col min="7425" max="7425" width="3.44140625" style="606" customWidth="1"/>
    <col min="7426" max="7426" width="17.33203125" style="606" customWidth="1"/>
    <col min="7427" max="7427" width="2.109375" style="606" customWidth="1"/>
    <col min="7428" max="7428" width="7.5546875" style="606" customWidth="1"/>
    <col min="7429" max="7429" width="12.109375" style="606" customWidth="1"/>
    <col min="7430" max="7430" width="14.33203125" style="606" customWidth="1"/>
    <col min="7431" max="7431" width="42.5546875" style="606" customWidth="1"/>
    <col min="7432" max="7675" width="8.88671875" style="606"/>
    <col min="7676" max="7676" width="15.88671875" style="606" customWidth="1"/>
    <col min="7677" max="7677" width="2.109375" style="606" customWidth="1"/>
    <col min="7678" max="7678" width="7.5546875" style="606" customWidth="1"/>
    <col min="7679" max="7679" width="12.109375" style="606" customWidth="1"/>
    <col min="7680" max="7680" width="14.33203125" style="606" customWidth="1"/>
    <col min="7681" max="7681" width="3.44140625" style="606" customWidth="1"/>
    <col min="7682" max="7682" width="17.33203125" style="606" customWidth="1"/>
    <col min="7683" max="7683" width="2.109375" style="606" customWidth="1"/>
    <col min="7684" max="7684" width="7.5546875" style="606" customWidth="1"/>
    <col min="7685" max="7685" width="12.109375" style="606" customWidth="1"/>
    <col min="7686" max="7686" width="14.33203125" style="606" customWidth="1"/>
    <col min="7687" max="7687" width="42.5546875" style="606" customWidth="1"/>
    <col min="7688" max="7931" width="8.88671875" style="606"/>
    <col min="7932" max="7932" width="15.88671875" style="606" customWidth="1"/>
    <col min="7933" max="7933" width="2.109375" style="606" customWidth="1"/>
    <col min="7934" max="7934" width="7.5546875" style="606" customWidth="1"/>
    <col min="7935" max="7935" width="12.109375" style="606" customWidth="1"/>
    <col min="7936" max="7936" width="14.33203125" style="606" customWidth="1"/>
    <col min="7937" max="7937" width="3.44140625" style="606" customWidth="1"/>
    <col min="7938" max="7938" width="17.33203125" style="606" customWidth="1"/>
    <col min="7939" max="7939" width="2.109375" style="606" customWidth="1"/>
    <col min="7940" max="7940" width="7.5546875" style="606" customWidth="1"/>
    <col min="7941" max="7941" width="12.109375" style="606" customWidth="1"/>
    <col min="7942" max="7942" width="14.33203125" style="606" customWidth="1"/>
    <col min="7943" max="7943" width="42.5546875" style="606" customWidth="1"/>
    <col min="7944" max="8187" width="8.88671875" style="606"/>
    <col min="8188" max="8188" width="15.88671875" style="606" customWidth="1"/>
    <col min="8189" max="8189" width="2.109375" style="606" customWidth="1"/>
    <col min="8190" max="8190" width="7.5546875" style="606" customWidth="1"/>
    <col min="8191" max="8191" width="12.109375" style="606" customWidth="1"/>
    <col min="8192" max="8192" width="14.33203125" style="606" customWidth="1"/>
    <col min="8193" max="8193" width="3.44140625" style="606" customWidth="1"/>
    <col min="8194" max="8194" width="17.33203125" style="606" customWidth="1"/>
    <col min="8195" max="8195" width="2.109375" style="606" customWidth="1"/>
    <col min="8196" max="8196" width="7.5546875" style="606" customWidth="1"/>
    <col min="8197" max="8197" width="12.109375" style="606" customWidth="1"/>
    <col min="8198" max="8198" width="14.33203125" style="606" customWidth="1"/>
    <col min="8199" max="8199" width="42.5546875" style="606" customWidth="1"/>
    <col min="8200" max="8443" width="8.88671875" style="606"/>
    <col min="8444" max="8444" width="15.88671875" style="606" customWidth="1"/>
    <col min="8445" max="8445" width="2.109375" style="606" customWidth="1"/>
    <col min="8446" max="8446" width="7.5546875" style="606" customWidth="1"/>
    <col min="8447" max="8447" width="12.109375" style="606" customWidth="1"/>
    <col min="8448" max="8448" width="14.33203125" style="606" customWidth="1"/>
    <col min="8449" max="8449" width="3.44140625" style="606" customWidth="1"/>
    <col min="8450" max="8450" width="17.33203125" style="606" customWidth="1"/>
    <col min="8451" max="8451" width="2.109375" style="606" customWidth="1"/>
    <col min="8452" max="8452" width="7.5546875" style="606" customWidth="1"/>
    <col min="8453" max="8453" width="12.109375" style="606" customWidth="1"/>
    <col min="8454" max="8454" width="14.33203125" style="606" customWidth="1"/>
    <col min="8455" max="8455" width="42.5546875" style="606" customWidth="1"/>
    <col min="8456" max="8699" width="8.88671875" style="606"/>
    <col min="8700" max="8700" width="15.88671875" style="606" customWidth="1"/>
    <col min="8701" max="8701" width="2.109375" style="606" customWidth="1"/>
    <col min="8702" max="8702" width="7.5546875" style="606" customWidth="1"/>
    <col min="8703" max="8703" width="12.109375" style="606" customWidth="1"/>
    <col min="8704" max="8704" width="14.33203125" style="606" customWidth="1"/>
    <col min="8705" max="8705" width="3.44140625" style="606" customWidth="1"/>
    <col min="8706" max="8706" width="17.33203125" style="606" customWidth="1"/>
    <col min="8707" max="8707" width="2.109375" style="606" customWidth="1"/>
    <col min="8708" max="8708" width="7.5546875" style="606" customWidth="1"/>
    <col min="8709" max="8709" width="12.109375" style="606" customWidth="1"/>
    <col min="8710" max="8710" width="14.33203125" style="606" customWidth="1"/>
    <col min="8711" max="8711" width="42.5546875" style="606" customWidth="1"/>
    <col min="8712" max="8955" width="8.88671875" style="606"/>
    <col min="8956" max="8956" width="15.88671875" style="606" customWidth="1"/>
    <col min="8957" max="8957" width="2.109375" style="606" customWidth="1"/>
    <col min="8958" max="8958" width="7.5546875" style="606" customWidth="1"/>
    <col min="8959" max="8959" width="12.109375" style="606" customWidth="1"/>
    <col min="8960" max="8960" width="14.33203125" style="606" customWidth="1"/>
    <col min="8961" max="8961" width="3.44140625" style="606" customWidth="1"/>
    <col min="8962" max="8962" width="17.33203125" style="606" customWidth="1"/>
    <col min="8963" max="8963" width="2.109375" style="606" customWidth="1"/>
    <col min="8964" max="8964" width="7.5546875" style="606" customWidth="1"/>
    <col min="8965" max="8965" width="12.109375" style="606" customWidth="1"/>
    <col min="8966" max="8966" width="14.33203125" style="606" customWidth="1"/>
    <col min="8967" max="8967" width="42.5546875" style="606" customWidth="1"/>
    <col min="8968" max="9211" width="8.88671875" style="606"/>
    <col min="9212" max="9212" width="15.88671875" style="606" customWidth="1"/>
    <col min="9213" max="9213" width="2.109375" style="606" customWidth="1"/>
    <col min="9214" max="9214" width="7.5546875" style="606" customWidth="1"/>
    <col min="9215" max="9215" width="12.109375" style="606" customWidth="1"/>
    <col min="9216" max="9216" width="14.33203125" style="606" customWidth="1"/>
    <col min="9217" max="9217" width="3.44140625" style="606" customWidth="1"/>
    <col min="9218" max="9218" width="17.33203125" style="606" customWidth="1"/>
    <col min="9219" max="9219" width="2.109375" style="606" customWidth="1"/>
    <col min="9220" max="9220" width="7.5546875" style="606" customWidth="1"/>
    <col min="9221" max="9221" width="12.109375" style="606" customWidth="1"/>
    <col min="9222" max="9222" width="14.33203125" style="606" customWidth="1"/>
    <col min="9223" max="9223" width="42.5546875" style="606" customWidth="1"/>
    <col min="9224" max="9467" width="8.88671875" style="606"/>
    <col min="9468" max="9468" width="15.88671875" style="606" customWidth="1"/>
    <col min="9469" max="9469" width="2.109375" style="606" customWidth="1"/>
    <col min="9470" max="9470" width="7.5546875" style="606" customWidth="1"/>
    <col min="9471" max="9471" width="12.109375" style="606" customWidth="1"/>
    <col min="9472" max="9472" width="14.33203125" style="606" customWidth="1"/>
    <col min="9473" max="9473" width="3.44140625" style="606" customWidth="1"/>
    <col min="9474" max="9474" width="17.33203125" style="606" customWidth="1"/>
    <col min="9475" max="9475" width="2.109375" style="606" customWidth="1"/>
    <col min="9476" max="9476" width="7.5546875" style="606" customWidth="1"/>
    <col min="9477" max="9477" width="12.109375" style="606" customWidth="1"/>
    <col min="9478" max="9478" width="14.33203125" style="606" customWidth="1"/>
    <col min="9479" max="9479" width="42.5546875" style="606" customWidth="1"/>
    <col min="9480" max="9723" width="8.88671875" style="606"/>
    <col min="9724" max="9724" width="15.88671875" style="606" customWidth="1"/>
    <col min="9725" max="9725" width="2.109375" style="606" customWidth="1"/>
    <col min="9726" max="9726" width="7.5546875" style="606" customWidth="1"/>
    <col min="9727" max="9727" width="12.109375" style="606" customWidth="1"/>
    <col min="9728" max="9728" width="14.33203125" style="606" customWidth="1"/>
    <col min="9729" max="9729" width="3.44140625" style="606" customWidth="1"/>
    <col min="9730" max="9730" width="17.33203125" style="606" customWidth="1"/>
    <col min="9731" max="9731" width="2.109375" style="606" customWidth="1"/>
    <col min="9732" max="9732" width="7.5546875" style="606" customWidth="1"/>
    <col min="9733" max="9733" width="12.109375" style="606" customWidth="1"/>
    <col min="9734" max="9734" width="14.33203125" style="606" customWidth="1"/>
    <col min="9735" max="9735" width="42.5546875" style="606" customWidth="1"/>
    <col min="9736" max="9979" width="8.88671875" style="606"/>
    <col min="9980" max="9980" width="15.88671875" style="606" customWidth="1"/>
    <col min="9981" max="9981" width="2.109375" style="606" customWidth="1"/>
    <col min="9982" max="9982" width="7.5546875" style="606" customWidth="1"/>
    <col min="9983" max="9983" width="12.109375" style="606" customWidth="1"/>
    <col min="9984" max="9984" width="14.33203125" style="606" customWidth="1"/>
    <col min="9985" max="9985" width="3.44140625" style="606" customWidth="1"/>
    <col min="9986" max="9986" width="17.33203125" style="606" customWidth="1"/>
    <col min="9987" max="9987" width="2.109375" style="606" customWidth="1"/>
    <col min="9988" max="9988" width="7.5546875" style="606" customWidth="1"/>
    <col min="9989" max="9989" width="12.109375" style="606" customWidth="1"/>
    <col min="9990" max="9990" width="14.33203125" style="606" customWidth="1"/>
    <col min="9991" max="9991" width="42.5546875" style="606" customWidth="1"/>
    <col min="9992" max="10235" width="8.88671875" style="606"/>
    <col min="10236" max="10236" width="15.88671875" style="606" customWidth="1"/>
    <col min="10237" max="10237" width="2.109375" style="606" customWidth="1"/>
    <col min="10238" max="10238" width="7.5546875" style="606" customWidth="1"/>
    <col min="10239" max="10239" width="12.109375" style="606" customWidth="1"/>
    <col min="10240" max="10240" width="14.33203125" style="606" customWidth="1"/>
    <col min="10241" max="10241" width="3.44140625" style="606" customWidth="1"/>
    <col min="10242" max="10242" width="17.33203125" style="606" customWidth="1"/>
    <col min="10243" max="10243" width="2.109375" style="606" customWidth="1"/>
    <col min="10244" max="10244" width="7.5546875" style="606" customWidth="1"/>
    <col min="10245" max="10245" width="12.109375" style="606" customWidth="1"/>
    <col min="10246" max="10246" width="14.33203125" style="606" customWidth="1"/>
    <col min="10247" max="10247" width="42.5546875" style="606" customWidth="1"/>
    <col min="10248" max="10491" width="8.88671875" style="606"/>
    <col min="10492" max="10492" width="15.88671875" style="606" customWidth="1"/>
    <col min="10493" max="10493" width="2.109375" style="606" customWidth="1"/>
    <col min="10494" max="10494" width="7.5546875" style="606" customWidth="1"/>
    <col min="10495" max="10495" width="12.109375" style="606" customWidth="1"/>
    <col min="10496" max="10496" width="14.33203125" style="606" customWidth="1"/>
    <col min="10497" max="10497" width="3.44140625" style="606" customWidth="1"/>
    <col min="10498" max="10498" width="17.33203125" style="606" customWidth="1"/>
    <col min="10499" max="10499" width="2.109375" style="606" customWidth="1"/>
    <col min="10500" max="10500" width="7.5546875" style="606" customWidth="1"/>
    <col min="10501" max="10501" width="12.109375" style="606" customWidth="1"/>
    <col min="10502" max="10502" width="14.33203125" style="606" customWidth="1"/>
    <col min="10503" max="10503" width="42.5546875" style="606" customWidth="1"/>
    <col min="10504" max="10747" width="8.88671875" style="606"/>
    <col min="10748" max="10748" width="15.88671875" style="606" customWidth="1"/>
    <col min="10749" max="10749" width="2.109375" style="606" customWidth="1"/>
    <col min="10750" max="10750" width="7.5546875" style="606" customWidth="1"/>
    <col min="10751" max="10751" width="12.109375" style="606" customWidth="1"/>
    <col min="10752" max="10752" width="14.33203125" style="606" customWidth="1"/>
    <col min="10753" max="10753" width="3.44140625" style="606" customWidth="1"/>
    <col min="10754" max="10754" width="17.33203125" style="606" customWidth="1"/>
    <col min="10755" max="10755" width="2.109375" style="606" customWidth="1"/>
    <col min="10756" max="10756" width="7.5546875" style="606" customWidth="1"/>
    <col min="10757" max="10757" width="12.109375" style="606" customWidth="1"/>
    <col min="10758" max="10758" width="14.33203125" style="606" customWidth="1"/>
    <col min="10759" max="10759" width="42.5546875" style="606" customWidth="1"/>
    <col min="10760" max="11003" width="8.88671875" style="606"/>
    <col min="11004" max="11004" width="15.88671875" style="606" customWidth="1"/>
    <col min="11005" max="11005" width="2.109375" style="606" customWidth="1"/>
    <col min="11006" max="11006" width="7.5546875" style="606" customWidth="1"/>
    <col min="11007" max="11007" width="12.109375" style="606" customWidth="1"/>
    <col min="11008" max="11008" width="14.33203125" style="606" customWidth="1"/>
    <col min="11009" max="11009" width="3.44140625" style="606" customWidth="1"/>
    <col min="11010" max="11010" width="17.33203125" style="606" customWidth="1"/>
    <col min="11011" max="11011" width="2.109375" style="606" customWidth="1"/>
    <col min="11012" max="11012" width="7.5546875" style="606" customWidth="1"/>
    <col min="11013" max="11013" width="12.109375" style="606" customWidth="1"/>
    <col min="11014" max="11014" width="14.33203125" style="606" customWidth="1"/>
    <col min="11015" max="11015" width="42.5546875" style="606" customWidth="1"/>
    <col min="11016" max="11259" width="8.88671875" style="606"/>
    <col min="11260" max="11260" width="15.88671875" style="606" customWidth="1"/>
    <col min="11261" max="11261" width="2.109375" style="606" customWidth="1"/>
    <col min="11262" max="11262" width="7.5546875" style="606" customWidth="1"/>
    <col min="11263" max="11263" width="12.109375" style="606" customWidth="1"/>
    <col min="11264" max="11264" width="14.33203125" style="606" customWidth="1"/>
    <col min="11265" max="11265" width="3.44140625" style="606" customWidth="1"/>
    <col min="11266" max="11266" width="17.33203125" style="606" customWidth="1"/>
    <col min="11267" max="11267" width="2.109375" style="606" customWidth="1"/>
    <col min="11268" max="11268" width="7.5546875" style="606" customWidth="1"/>
    <col min="11269" max="11269" width="12.109375" style="606" customWidth="1"/>
    <col min="11270" max="11270" width="14.33203125" style="606" customWidth="1"/>
    <col min="11271" max="11271" width="42.5546875" style="606" customWidth="1"/>
    <col min="11272" max="11515" width="8.88671875" style="606"/>
    <col min="11516" max="11516" width="15.88671875" style="606" customWidth="1"/>
    <col min="11517" max="11517" width="2.109375" style="606" customWidth="1"/>
    <col min="11518" max="11518" width="7.5546875" style="606" customWidth="1"/>
    <col min="11519" max="11519" width="12.109375" style="606" customWidth="1"/>
    <col min="11520" max="11520" width="14.33203125" style="606" customWidth="1"/>
    <col min="11521" max="11521" width="3.44140625" style="606" customWidth="1"/>
    <col min="11522" max="11522" width="17.33203125" style="606" customWidth="1"/>
    <col min="11523" max="11523" width="2.109375" style="606" customWidth="1"/>
    <col min="11524" max="11524" width="7.5546875" style="606" customWidth="1"/>
    <col min="11525" max="11525" width="12.109375" style="606" customWidth="1"/>
    <col min="11526" max="11526" width="14.33203125" style="606" customWidth="1"/>
    <col min="11527" max="11527" width="42.5546875" style="606" customWidth="1"/>
    <col min="11528" max="11771" width="8.88671875" style="606"/>
    <col min="11772" max="11772" width="15.88671875" style="606" customWidth="1"/>
    <col min="11773" max="11773" width="2.109375" style="606" customWidth="1"/>
    <col min="11774" max="11774" width="7.5546875" style="606" customWidth="1"/>
    <col min="11775" max="11775" width="12.109375" style="606" customWidth="1"/>
    <col min="11776" max="11776" width="14.33203125" style="606" customWidth="1"/>
    <col min="11777" max="11777" width="3.44140625" style="606" customWidth="1"/>
    <col min="11778" max="11778" width="17.33203125" style="606" customWidth="1"/>
    <col min="11779" max="11779" width="2.109375" style="606" customWidth="1"/>
    <col min="11780" max="11780" width="7.5546875" style="606" customWidth="1"/>
    <col min="11781" max="11781" width="12.109375" style="606" customWidth="1"/>
    <col min="11782" max="11782" width="14.33203125" style="606" customWidth="1"/>
    <col min="11783" max="11783" width="42.5546875" style="606" customWidth="1"/>
    <col min="11784" max="12027" width="8.88671875" style="606"/>
    <col min="12028" max="12028" width="15.88671875" style="606" customWidth="1"/>
    <col min="12029" max="12029" width="2.109375" style="606" customWidth="1"/>
    <col min="12030" max="12030" width="7.5546875" style="606" customWidth="1"/>
    <col min="12031" max="12031" width="12.109375" style="606" customWidth="1"/>
    <col min="12032" max="12032" width="14.33203125" style="606" customWidth="1"/>
    <col min="12033" max="12033" width="3.44140625" style="606" customWidth="1"/>
    <col min="12034" max="12034" width="17.33203125" style="606" customWidth="1"/>
    <col min="12035" max="12035" width="2.109375" style="606" customWidth="1"/>
    <col min="12036" max="12036" width="7.5546875" style="606" customWidth="1"/>
    <col min="12037" max="12037" width="12.109375" style="606" customWidth="1"/>
    <col min="12038" max="12038" width="14.33203125" style="606" customWidth="1"/>
    <col min="12039" max="12039" width="42.5546875" style="606" customWidth="1"/>
    <col min="12040" max="12283" width="8.88671875" style="606"/>
    <col min="12284" max="12284" width="15.88671875" style="606" customWidth="1"/>
    <col min="12285" max="12285" width="2.109375" style="606" customWidth="1"/>
    <col min="12286" max="12286" width="7.5546875" style="606" customWidth="1"/>
    <col min="12287" max="12287" width="12.109375" style="606" customWidth="1"/>
    <col min="12288" max="12288" width="14.33203125" style="606" customWidth="1"/>
    <col min="12289" max="12289" width="3.44140625" style="606" customWidth="1"/>
    <col min="12290" max="12290" width="17.33203125" style="606" customWidth="1"/>
    <col min="12291" max="12291" width="2.109375" style="606" customWidth="1"/>
    <col min="12292" max="12292" width="7.5546875" style="606" customWidth="1"/>
    <col min="12293" max="12293" width="12.109375" style="606" customWidth="1"/>
    <col min="12294" max="12294" width="14.33203125" style="606" customWidth="1"/>
    <col min="12295" max="12295" width="42.5546875" style="606" customWidth="1"/>
    <col min="12296" max="12539" width="8.88671875" style="606"/>
    <col min="12540" max="12540" width="15.88671875" style="606" customWidth="1"/>
    <col min="12541" max="12541" width="2.109375" style="606" customWidth="1"/>
    <col min="12542" max="12542" width="7.5546875" style="606" customWidth="1"/>
    <col min="12543" max="12543" width="12.109375" style="606" customWidth="1"/>
    <col min="12544" max="12544" width="14.33203125" style="606" customWidth="1"/>
    <col min="12545" max="12545" width="3.44140625" style="606" customWidth="1"/>
    <col min="12546" max="12546" width="17.33203125" style="606" customWidth="1"/>
    <col min="12547" max="12547" width="2.109375" style="606" customWidth="1"/>
    <col min="12548" max="12548" width="7.5546875" style="606" customWidth="1"/>
    <col min="12549" max="12549" width="12.109375" style="606" customWidth="1"/>
    <col min="12550" max="12550" width="14.33203125" style="606" customWidth="1"/>
    <col min="12551" max="12551" width="42.5546875" style="606" customWidth="1"/>
    <col min="12552" max="12795" width="8.88671875" style="606"/>
    <col min="12796" max="12796" width="15.88671875" style="606" customWidth="1"/>
    <col min="12797" max="12797" width="2.109375" style="606" customWidth="1"/>
    <col min="12798" max="12798" width="7.5546875" style="606" customWidth="1"/>
    <col min="12799" max="12799" width="12.109375" style="606" customWidth="1"/>
    <col min="12800" max="12800" width="14.33203125" style="606" customWidth="1"/>
    <col min="12801" max="12801" width="3.44140625" style="606" customWidth="1"/>
    <col min="12802" max="12802" width="17.33203125" style="606" customWidth="1"/>
    <col min="12803" max="12803" width="2.109375" style="606" customWidth="1"/>
    <col min="12804" max="12804" width="7.5546875" style="606" customWidth="1"/>
    <col min="12805" max="12805" width="12.109375" style="606" customWidth="1"/>
    <col min="12806" max="12806" width="14.33203125" style="606" customWidth="1"/>
    <col min="12807" max="12807" width="42.5546875" style="606" customWidth="1"/>
    <col min="12808" max="13051" width="8.88671875" style="606"/>
    <col min="13052" max="13052" width="15.88671875" style="606" customWidth="1"/>
    <col min="13053" max="13053" width="2.109375" style="606" customWidth="1"/>
    <col min="13054" max="13054" width="7.5546875" style="606" customWidth="1"/>
    <col min="13055" max="13055" width="12.109375" style="606" customWidth="1"/>
    <col min="13056" max="13056" width="14.33203125" style="606" customWidth="1"/>
    <col min="13057" max="13057" width="3.44140625" style="606" customWidth="1"/>
    <col min="13058" max="13058" width="17.33203125" style="606" customWidth="1"/>
    <col min="13059" max="13059" width="2.109375" style="606" customWidth="1"/>
    <col min="13060" max="13060" width="7.5546875" style="606" customWidth="1"/>
    <col min="13061" max="13061" width="12.109375" style="606" customWidth="1"/>
    <col min="13062" max="13062" width="14.33203125" style="606" customWidth="1"/>
    <col min="13063" max="13063" width="42.5546875" style="606" customWidth="1"/>
    <col min="13064" max="13307" width="8.88671875" style="606"/>
    <col min="13308" max="13308" width="15.88671875" style="606" customWidth="1"/>
    <col min="13309" max="13309" width="2.109375" style="606" customWidth="1"/>
    <col min="13310" max="13310" width="7.5546875" style="606" customWidth="1"/>
    <col min="13311" max="13311" width="12.109375" style="606" customWidth="1"/>
    <col min="13312" max="13312" width="14.33203125" style="606" customWidth="1"/>
    <col min="13313" max="13313" width="3.44140625" style="606" customWidth="1"/>
    <col min="13314" max="13314" width="17.33203125" style="606" customWidth="1"/>
    <col min="13315" max="13315" width="2.109375" style="606" customWidth="1"/>
    <col min="13316" max="13316" width="7.5546875" style="606" customWidth="1"/>
    <col min="13317" max="13317" width="12.109375" style="606" customWidth="1"/>
    <col min="13318" max="13318" width="14.33203125" style="606" customWidth="1"/>
    <col min="13319" max="13319" width="42.5546875" style="606" customWidth="1"/>
    <col min="13320" max="13563" width="8.88671875" style="606"/>
    <col min="13564" max="13564" width="15.88671875" style="606" customWidth="1"/>
    <col min="13565" max="13565" width="2.109375" style="606" customWidth="1"/>
    <col min="13566" max="13566" width="7.5546875" style="606" customWidth="1"/>
    <col min="13567" max="13567" width="12.109375" style="606" customWidth="1"/>
    <col min="13568" max="13568" width="14.33203125" style="606" customWidth="1"/>
    <col min="13569" max="13569" width="3.44140625" style="606" customWidth="1"/>
    <col min="13570" max="13570" width="17.33203125" style="606" customWidth="1"/>
    <col min="13571" max="13571" width="2.109375" style="606" customWidth="1"/>
    <col min="13572" max="13572" width="7.5546875" style="606" customWidth="1"/>
    <col min="13573" max="13573" width="12.109375" style="606" customWidth="1"/>
    <col min="13574" max="13574" width="14.33203125" style="606" customWidth="1"/>
    <col min="13575" max="13575" width="42.5546875" style="606" customWidth="1"/>
    <col min="13576" max="13819" width="8.88671875" style="606"/>
    <col min="13820" max="13820" width="15.88671875" style="606" customWidth="1"/>
    <col min="13821" max="13821" width="2.109375" style="606" customWidth="1"/>
    <col min="13822" max="13822" width="7.5546875" style="606" customWidth="1"/>
    <col min="13823" max="13823" width="12.109375" style="606" customWidth="1"/>
    <col min="13824" max="13824" width="14.33203125" style="606" customWidth="1"/>
    <col min="13825" max="13825" width="3.44140625" style="606" customWidth="1"/>
    <col min="13826" max="13826" width="17.33203125" style="606" customWidth="1"/>
    <col min="13827" max="13827" width="2.109375" style="606" customWidth="1"/>
    <col min="13828" max="13828" width="7.5546875" style="606" customWidth="1"/>
    <col min="13829" max="13829" width="12.109375" style="606" customWidth="1"/>
    <col min="13830" max="13830" width="14.33203125" style="606" customWidth="1"/>
    <col min="13831" max="13831" width="42.5546875" style="606" customWidth="1"/>
    <col min="13832" max="14075" width="8.88671875" style="606"/>
    <col min="14076" max="14076" width="15.88671875" style="606" customWidth="1"/>
    <col min="14077" max="14077" width="2.109375" style="606" customWidth="1"/>
    <col min="14078" max="14078" width="7.5546875" style="606" customWidth="1"/>
    <col min="14079" max="14079" width="12.109375" style="606" customWidth="1"/>
    <col min="14080" max="14080" width="14.33203125" style="606" customWidth="1"/>
    <col min="14081" max="14081" width="3.44140625" style="606" customWidth="1"/>
    <col min="14082" max="14082" width="17.33203125" style="606" customWidth="1"/>
    <col min="14083" max="14083" width="2.109375" style="606" customWidth="1"/>
    <col min="14084" max="14084" width="7.5546875" style="606" customWidth="1"/>
    <col min="14085" max="14085" width="12.109375" style="606" customWidth="1"/>
    <col min="14086" max="14086" width="14.33203125" style="606" customWidth="1"/>
    <col min="14087" max="14087" width="42.5546875" style="606" customWidth="1"/>
    <col min="14088" max="14331" width="8.88671875" style="606"/>
    <col min="14332" max="14332" width="15.88671875" style="606" customWidth="1"/>
    <col min="14333" max="14333" width="2.109375" style="606" customWidth="1"/>
    <col min="14334" max="14334" width="7.5546875" style="606" customWidth="1"/>
    <col min="14335" max="14335" width="12.109375" style="606" customWidth="1"/>
    <col min="14336" max="14336" width="14.33203125" style="606" customWidth="1"/>
    <col min="14337" max="14337" width="3.44140625" style="606" customWidth="1"/>
    <col min="14338" max="14338" width="17.33203125" style="606" customWidth="1"/>
    <col min="14339" max="14339" width="2.109375" style="606" customWidth="1"/>
    <col min="14340" max="14340" width="7.5546875" style="606" customWidth="1"/>
    <col min="14341" max="14341" width="12.109375" style="606" customWidth="1"/>
    <col min="14342" max="14342" width="14.33203125" style="606" customWidth="1"/>
    <col min="14343" max="14343" width="42.5546875" style="606" customWidth="1"/>
    <col min="14344" max="14587" width="8.88671875" style="606"/>
    <col min="14588" max="14588" width="15.88671875" style="606" customWidth="1"/>
    <col min="14589" max="14589" width="2.109375" style="606" customWidth="1"/>
    <col min="14590" max="14590" width="7.5546875" style="606" customWidth="1"/>
    <col min="14591" max="14591" width="12.109375" style="606" customWidth="1"/>
    <col min="14592" max="14592" width="14.33203125" style="606" customWidth="1"/>
    <col min="14593" max="14593" width="3.44140625" style="606" customWidth="1"/>
    <col min="14594" max="14594" width="17.33203125" style="606" customWidth="1"/>
    <col min="14595" max="14595" width="2.109375" style="606" customWidth="1"/>
    <col min="14596" max="14596" width="7.5546875" style="606" customWidth="1"/>
    <col min="14597" max="14597" width="12.109375" style="606" customWidth="1"/>
    <col min="14598" max="14598" width="14.33203125" style="606" customWidth="1"/>
    <col min="14599" max="14599" width="42.5546875" style="606" customWidth="1"/>
    <col min="14600" max="14843" width="8.88671875" style="606"/>
    <col min="14844" max="14844" width="15.88671875" style="606" customWidth="1"/>
    <col min="14845" max="14845" width="2.109375" style="606" customWidth="1"/>
    <col min="14846" max="14846" width="7.5546875" style="606" customWidth="1"/>
    <col min="14847" max="14847" width="12.109375" style="606" customWidth="1"/>
    <col min="14848" max="14848" width="14.33203125" style="606" customWidth="1"/>
    <col min="14849" max="14849" width="3.44140625" style="606" customWidth="1"/>
    <col min="14850" max="14850" width="17.33203125" style="606" customWidth="1"/>
    <col min="14851" max="14851" width="2.109375" style="606" customWidth="1"/>
    <col min="14852" max="14852" width="7.5546875" style="606" customWidth="1"/>
    <col min="14853" max="14853" width="12.109375" style="606" customWidth="1"/>
    <col min="14854" max="14854" width="14.33203125" style="606" customWidth="1"/>
    <col min="14855" max="14855" width="42.5546875" style="606" customWidth="1"/>
    <col min="14856" max="15099" width="8.88671875" style="606"/>
    <col min="15100" max="15100" width="15.88671875" style="606" customWidth="1"/>
    <col min="15101" max="15101" width="2.109375" style="606" customWidth="1"/>
    <col min="15102" max="15102" width="7.5546875" style="606" customWidth="1"/>
    <col min="15103" max="15103" width="12.109375" style="606" customWidth="1"/>
    <col min="15104" max="15104" width="14.33203125" style="606" customWidth="1"/>
    <col min="15105" max="15105" width="3.44140625" style="606" customWidth="1"/>
    <col min="15106" max="15106" width="17.33203125" style="606" customWidth="1"/>
    <col min="15107" max="15107" width="2.109375" style="606" customWidth="1"/>
    <col min="15108" max="15108" width="7.5546875" style="606" customWidth="1"/>
    <col min="15109" max="15109" width="12.109375" style="606" customWidth="1"/>
    <col min="15110" max="15110" width="14.33203125" style="606" customWidth="1"/>
    <col min="15111" max="15111" width="42.5546875" style="606" customWidth="1"/>
    <col min="15112" max="15355" width="8.88671875" style="606"/>
    <col min="15356" max="15356" width="15.88671875" style="606" customWidth="1"/>
    <col min="15357" max="15357" width="2.109375" style="606" customWidth="1"/>
    <col min="15358" max="15358" width="7.5546875" style="606" customWidth="1"/>
    <col min="15359" max="15359" width="12.109375" style="606" customWidth="1"/>
    <col min="15360" max="15360" width="14.33203125" style="606" customWidth="1"/>
    <col min="15361" max="15361" width="3.44140625" style="606" customWidth="1"/>
    <col min="15362" max="15362" width="17.33203125" style="606" customWidth="1"/>
    <col min="15363" max="15363" width="2.109375" style="606" customWidth="1"/>
    <col min="15364" max="15364" width="7.5546875" style="606" customWidth="1"/>
    <col min="15365" max="15365" width="12.109375" style="606" customWidth="1"/>
    <col min="15366" max="15366" width="14.33203125" style="606" customWidth="1"/>
    <col min="15367" max="15367" width="42.5546875" style="606" customWidth="1"/>
    <col min="15368" max="15611" width="8.88671875" style="606"/>
    <col min="15612" max="15612" width="15.88671875" style="606" customWidth="1"/>
    <col min="15613" max="15613" width="2.109375" style="606" customWidth="1"/>
    <col min="15614" max="15614" width="7.5546875" style="606" customWidth="1"/>
    <col min="15615" max="15615" width="12.109375" style="606" customWidth="1"/>
    <col min="15616" max="15616" width="14.33203125" style="606" customWidth="1"/>
    <col min="15617" max="15617" width="3.44140625" style="606" customWidth="1"/>
    <col min="15618" max="15618" width="17.33203125" style="606" customWidth="1"/>
    <col min="15619" max="15619" width="2.109375" style="606" customWidth="1"/>
    <col min="15620" max="15620" width="7.5546875" style="606" customWidth="1"/>
    <col min="15621" max="15621" width="12.109375" style="606" customWidth="1"/>
    <col min="15622" max="15622" width="14.33203125" style="606" customWidth="1"/>
    <col min="15623" max="15623" width="42.5546875" style="606" customWidth="1"/>
    <col min="15624" max="15867" width="8.88671875" style="606"/>
    <col min="15868" max="15868" width="15.88671875" style="606" customWidth="1"/>
    <col min="15869" max="15869" width="2.109375" style="606" customWidth="1"/>
    <col min="15870" max="15870" width="7.5546875" style="606" customWidth="1"/>
    <col min="15871" max="15871" width="12.109375" style="606" customWidth="1"/>
    <col min="15872" max="15872" width="14.33203125" style="606" customWidth="1"/>
    <col min="15873" max="15873" width="3.44140625" style="606" customWidth="1"/>
    <col min="15874" max="15874" width="17.33203125" style="606" customWidth="1"/>
    <col min="15875" max="15875" width="2.109375" style="606" customWidth="1"/>
    <col min="15876" max="15876" width="7.5546875" style="606" customWidth="1"/>
    <col min="15877" max="15877" width="12.109375" style="606" customWidth="1"/>
    <col min="15878" max="15878" width="14.33203125" style="606" customWidth="1"/>
    <col min="15879" max="15879" width="42.5546875" style="606" customWidth="1"/>
    <col min="15880" max="16123" width="8.88671875" style="606"/>
    <col min="16124" max="16124" width="15.88671875" style="606" customWidth="1"/>
    <col min="16125" max="16125" width="2.109375" style="606" customWidth="1"/>
    <col min="16126" max="16126" width="7.5546875" style="606" customWidth="1"/>
    <col min="16127" max="16127" width="12.109375" style="606" customWidth="1"/>
    <col min="16128" max="16128" width="14.33203125" style="606" customWidth="1"/>
    <col min="16129" max="16129" width="3.44140625" style="606" customWidth="1"/>
    <col min="16130" max="16130" width="17.33203125" style="606" customWidth="1"/>
    <col min="16131" max="16131" width="2.109375" style="606" customWidth="1"/>
    <col min="16132" max="16132" width="7.5546875" style="606" customWidth="1"/>
    <col min="16133" max="16133" width="12.109375" style="606" customWidth="1"/>
    <col min="16134" max="16134" width="14.33203125" style="606" customWidth="1"/>
    <col min="16135" max="16135" width="42.5546875" style="606" customWidth="1"/>
    <col min="16136" max="16384" width="8.88671875" style="606"/>
  </cols>
  <sheetData>
    <row r="1" spans="1:13" x14ac:dyDescent="0.3">
      <c r="A1" s="787" t="s">
        <v>1674</v>
      </c>
      <c r="B1" s="787"/>
      <c r="C1" s="787"/>
      <c r="D1" s="787"/>
      <c r="E1" s="787"/>
      <c r="F1" s="787"/>
      <c r="G1" s="787"/>
      <c r="H1" s="787"/>
      <c r="I1" s="787"/>
      <c r="J1" s="1039" t="s">
        <v>1971</v>
      </c>
      <c r="K1" s="1039"/>
      <c r="L1" s="787"/>
      <c r="M1" s="787"/>
    </row>
    <row r="2" spans="1:13" x14ac:dyDescent="0.3">
      <c r="A2" s="787" t="s">
        <v>604</v>
      </c>
      <c r="B2" s="787"/>
      <c r="C2" s="787"/>
      <c r="D2" s="787"/>
      <c r="E2" s="787"/>
      <c r="F2" s="787"/>
      <c r="G2" s="787"/>
      <c r="H2" s="787"/>
      <c r="I2" s="787"/>
      <c r="J2" s="787"/>
      <c r="K2" s="787"/>
      <c r="L2" s="787"/>
      <c r="M2" s="787"/>
    </row>
    <row r="3" spans="1:13" x14ac:dyDescent="0.3">
      <c r="A3" s="787" t="s">
        <v>605</v>
      </c>
      <c r="B3" s="787"/>
      <c r="C3" s="787"/>
      <c r="D3" s="787"/>
      <c r="E3" s="787"/>
      <c r="F3" s="787"/>
      <c r="G3" s="787"/>
      <c r="H3" s="787"/>
      <c r="I3" s="787"/>
      <c r="J3" s="787"/>
      <c r="K3" s="787"/>
      <c r="L3" s="787"/>
    </row>
    <row r="4" spans="1:13" x14ac:dyDescent="0.3">
      <c r="A4" s="787"/>
      <c r="B4" s="787"/>
      <c r="C4" s="788"/>
      <c r="D4" s="789"/>
      <c r="E4" s="789"/>
      <c r="F4" s="787"/>
      <c r="G4" s="180"/>
      <c r="H4" s="180"/>
      <c r="I4" s="180"/>
      <c r="J4" s="180"/>
      <c r="K4" s="180"/>
      <c r="L4" s="180"/>
    </row>
    <row r="5" spans="1:13" x14ac:dyDescent="0.3">
      <c r="A5" s="787"/>
      <c r="B5" s="787"/>
      <c r="C5" s="788"/>
      <c r="D5" s="789" t="s">
        <v>606</v>
      </c>
      <c r="E5" s="789" t="s">
        <v>607</v>
      </c>
      <c r="F5" s="787"/>
      <c r="G5" s="180"/>
      <c r="H5" s="180"/>
      <c r="I5" s="180"/>
      <c r="J5" s="180"/>
      <c r="K5" s="180"/>
      <c r="L5" s="180"/>
      <c r="M5" s="787"/>
    </row>
    <row r="6" spans="1:13" x14ac:dyDescent="0.3">
      <c r="A6" s="787"/>
      <c r="B6" s="787"/>
      <c r="C6" s="788" t="s">
        <v>608</v>
      </c>
      <c r="D6" s="789" t="s">
        <v>609</v>
      </c>
      <c r="E6" s="789" t="s">
        <v>610</v>
      </c>
      <c r="F6" s="787"/>
      <c r="G6" s="180"/>
      <c r="H6" s="180"/>
      <c r="I6" s="180"/>
      <c r="J6" s="180"/>
      <c r="K6" s="180"/>
      <c r="L6" s="180"/>
      <c r="M6" s="787"/>
    </row>
    <row r="7" spans="1:13" x14ac:dyDescent="0.3">
      <c r="A7" s="787" t="s">
        <v>611</v>
      </c>
      <c r="B7" s="787"/>
      <c r="C7" s="788" t="s">
        <v>612</v>
      </c>
      <c r="D7" s="789" t="s">
        <v>613</v>
      </c>
      <c r="E7" s="789" t="s">
        <v>613</v>
      </c>
      <c r="F7" s="787"/>
      <c r="G7" s="180"/>
      <c r="H7" s="180"/>
      <c r="I7" s="180"/>
      <c r="J7" s="180"/>
      <c r="K7" s="180"/>
      <c r="L7" s="180"/>
      <c r="M7" s="787"/>
    </row>
    <row r="8" spans="1:13" hidden="1" x14ac:dyDescent="0.3">
      <c r="A8" s="787" t="s">
        <v>1704</v>
      </c>
      <c r="B8" s="787" t="s">
        <v>1705</v>
      </c>
      <c r="C8" s="790">
        <v>0.66</v>
      </c>
      <c r="D8" s="789">
        <v>2017</v>
      </c>
      <c r="E8" s="789">
        <v>2023</v>
      </c>
      <c r="F8" s="787"/>
      <c r="G8" s="180"/>
      <c r="H8" s="180"/>
      <c r="I8" s="180"/>
      <c r="J8" s="180"/>
      <c r="K8" s="180"/>
      <c r="L8" s="180"/>
    </row>
    <row r="9" spans="1:13" hidden="1" x14ac:dyDescent="0.3">
      <c r="A9" s="787" t="s">
        <v>1706</v>
      </c>
      <c r="B9" s="787" t="s">
        <v>1707</v>
      </c>
      <c r="C9" s="790">
        <v>0.79</v>
      </c>
      <c r="D9" s="789">
        <v>2015</v>
      </c>
      <c r="E9" s="789">
        <v>2023</v>
      </c>
      <c r="F9" s="787"/>
      <c r="G9" s="180"/>
      <c r="H9" s="180"/>
      <c r="I9" s="180"/>
      <c r="J9" s="180"/>
      <c r="K9" s="180"/>
      <c r="L9" s="180"/>
    </row>
    <row r="10" spans="1:13" hidden="1" x14ac:dyDescent="0.3">
      <c r="A10" s="787" t="s">
        <v>1708</v>
      </c>
      <c r="B10" s="787" t="s">
        <v>1709</v>
      </c>
      <c r="C10" s="790">
        <v>0.59699999999999998</v>
      </c>
      <c r="D10" s="789">
        <v>2021</v>
      </c>
      <c r="E10" s="789">
        <v>2027</v>
      </c>
      <c r="F10" s="787"/>
      <c r="G10" s="180"/>
      <c r="H10" s="180"/>
      <c r="I10" s="180"/>
      <c r="J10" s="180"/>
      <c r="K10" s="180"/>
      <c r="L10" s="180"/>
      <c r="M10" s="787"/>
    </row>
    <row r="11" spans="1:13" hidden="1" x14ac:dyDescent="0.3">
      <c r="A11" s="787" t="s">
        <v>1710</v>
      </c>
      <c r="B11" s="787" t="s">
        <v>472</v>
      </c>
      <c r="C11" s="790">
        <v>0.77700000000000002</v>
      </c>
      <c r="D11" s="789">
        <v>2018</v>
      </c>
      <c r="E11" s="789">
        <v>2026</v>
      </c>
      <c r="F11" s="787"/>
      <c r="G11" s="180"/>
      <c r="H11" s="180"/>
      <c r="I11" s="180"/>
      <c r="J11" s="180"/>
      <c r="K11" s="180"/>
      <c r="L11" s="180"/>
      <c r="M11" s="787"/>
    </row>
    <row r="12" spans="1:13" hidden="1" x14ac:dyDescent="0.3">
      <c r="A12" s="787" t="s">
        <v>1711</v>
      </c>
      <c r="B12" s="787" t="s">
        <v>1712</v>
      </c>
      <c r="C12" s="790">
        <v>0.51</v>
      </c>
      <c r="D12" s="789">
        <v>2019</v>
      </c>
      <c r="E12" s="789">
        <v>2023</v>
      </c>
      <c r="F12" s="787"/>
      <c r="G12" s="180"/>
      <c r="H12" s="180"/>
      <c r="I12" s="180"/>
      <c r="J12" s="180"/>
      <c r="K12" s="180"/>
      <c r="L12" s="180"/>
      <c r="M12" s="787"/>
    </row>
    <row r="13" spans="1:13" hidden="1" x14ac:dyDescent="0.3">
      <c r="A13" s="787" t="s">
        <v>1713</v>
      </c>
      <c r="B13" s="787" t="s">
        <v>1714</v>
      </c>
      <c r="C13" s="790">
        <v>0.55000000000000004</v>
      </c>
      <c r="D13" s="789">
        <v>2018</v>
      </c>
      <c r="E13" s="789">
        <v>2022</v>
      </c>
      <c r="F13" s="787"/>
      <c r="G13" s="180"/>
      <c r="H13" s="180"/>
      <c r="I13" s="180"/>
      <c r="J13" s="180"/>
      <c r="K13" s="180"/>
      <c r="L13" s="180"/>
      <c r="M13" s="787"/>
    </row>
    <row r="14" spans="1:13" hidden="1" x14ac:dyDescent="0.3">
      <c r="A14" s="787" t="s">
        <v>1715</v>
      </c>
      <c r="B14" s="787" t="s">
        <v>1716</v>
      </c>
      <c r="C14" s="790">
        <v>0.625</v>
      </c>
      <c r="D14" s="789">
        <v>2018</v>
      </c>
      <c r="E14" s="789">
        <v>2026</v>
      </c>
      <c r="F14" s="787"/>
      <c r="G14" s="180"/>
      <c r="H14" s="180"/>
      <c r="I14" s="180"/>
      <c r="J14" s="180"/>
      <c r="K14" s="180"/>
      <c r="L14" s="180"/>
      <c r="M14" s="787"/>
    </row>
    <row r="15" spans="1:13" hidden="1" x14ac:dyDescent="0.3">
      <c r="A15" s="787" t="s">
        <v>1717</v>
      </c>
      <c r="B15" s="787" t="s">
        <v>478</v>
      </c>
      <c r="C15" s="790">
        <v>0.86499999999999999</v>
      </c>
      <c r="D15" s="789">
        <v>2020</v>
      </c>
      <c r="E15" s="789">
        <v>2028</v>
      </c>
      <c r="F15" s="787"/>
      <c r="G15" s="180"/>
      <c r="H15" s="180"/>
      <c r="I15" s="180"/>
      <c r="J15" s="180"/>
      <c r="K15" s="180"/>
      <c r="L15" s="180"/>
      <c r="M15" s="787"/>
    </row>
    <row r="16" spans="1:13" hidden="1" x14ac:dyDescent="0.3">
      <c r="A16" s="787" t="s">
        <v>1718</v>
      </c>
      <c r="B16" s="787" t="s">
        <v>1719</v>
      </c>
      <c r="C16" s="790">
        <v>0.82</v>
      </c>
      <c r="D16" s="789">
        <v>2015</v>
      </c>
      <c r="E16" s="789">
        <v>2022</v>
      </c>
      <c r="F16" s="787"/>
      <c r="G16" s="180"/>
      <c r="H16" s="180"/>
      <c r="I16" s="180"/>
      <c r="J16" s="180"/>
      <c r="K16" s="180"/>
      <c r="L16" s="180"/>
      <c r="M16" s="787"/>
    </row>
    <row r="17" spans="1:13" hidden="1" x14ac:dyDescent="0.3">
      <c r="A17" s="787" t="s">
        <v>1720</v>
      </c>
      <c r="B17" s="787" t="s">
        <v>1721</v>
      </c>
      <c r="C17" s="790">
        <v>0.48499999999999999</v>
      </c>
      <c r="D17" s="789">
        <v>2019</v>
      </c>
      <c r="E17" s="789">
        <v>2023</v>
      </c>
      <c r="F17" s="787"/>
      <c r="G17" s="180"/>
      <c r="H17" s="180"/>
      <c r="I17" s="180"/>
      <c r="J17" s="180"/>
      <c r="K17" s="180"/>
      <c r="L17" s="180"/>
      <c r="M17" s="787"/>
    </row>
    <row r="18" spans="1:13" x14ac:dyDescent="0.3">
      <c r="A18" s="787" t="s">
        <v>1722</v>
      </c>
      <c r="B18" s="787" t="s">
        <v>1723</v>
      </c>
      <c r="C18" s="790">
        <v>0.48799999999999999</v>
      </c>
      <c r="D18" s="789">
        <v>2021</v>
      </c>
      <c r="E18" s="789">
        <v>2025</v>
      </c>
      <c r="F18" s="787"/>
      <c r="G18" s="180"/>
      <c r="H18" s="180"/>
      <c r="I18" s="180"/>
      <c r="J18" s="180"/>
      <c r="K18" s="180"/>
      <c r="L18" s="180"/>
      <c r="M18" s="787"/>
    </row>
    <row r="19" spans="1:13" hidden="1" x14ac:dyDescent="0.3">
      <c r="A19" s="787" t="s">
        <v>1724</v>
      </c>
      <c r="B19" s="787" t="s">
        <v>1725</v>
      </c>
      <c r="C19" s="790">
        <v>0.69499999999999995</v>
      </c>
      <c r="D19" s="789">
        <v>2019</v>
      </c>
      <c r="E19" s="789">
        <v>2023</v>
      </c>
      <c r="F19" s="787"/>
      <c r="G19" s="180"/>
      <c r="H19" s="180"/>
      <c r="I19" s="180"/>
      <c r="J19" s="180"/>
      <c r="K19" s="180"/>
      <c r="L19" s="180"/>
      <c r="M19" s="787"/>
    </row>
    <row r="20" spans="1:13" hidden="1" x14ac:dyDescent="0.3">
      <c r="A20" s="787" t="s">
        <v>1675</v>
      </c>
      <c r="B20" s="787" t="s">
        <v>1676</v>
      </c>
      <c r="C20" s="790">
        <v>0.74</v>
      </c>
      <c r="D20" s="789">
        <v>2020</v>
      </c>
      <c r="E20" s="789">
        <v>2024</v>
      </c>
      <c r="F20" s="787"/>
      <c r="G20" s="180"/>
      <c r="H20" s="180"/>
      <c r="I20" s="180"/>
      <c r="J20" s="180"/>
      <c r="K20" s="180"/>
      <c r="L20" s="180"/>
      <c r="M20" s="787"/>
    </row>
    <row r="21" spans="1:13" hidden="1" x14ac:dyDescent="0.3">
      <c r="A21" s="787" t="s">
        <v>1726</v>
      </c>
      <c r="B21" s="787" t="s">
        <v>1727</v>
      </c>
      <c r="C21" s="790">
        <v>0.63</v>
      </c>
      <c r="D21" s="789">
        <v>2021</v>
      </c>
      <c r="E21" s="789">
        <v>2029</v>
      </c>
      <c r="F21" s="787"/>
      <c r="G21" s="180"/>
      <c r="H21" s="180"/>
      <c r="I21" s="180"/>
      <c r="J21" s="180"/>
      <c r="K21" s="180"/>
      <c r="L21" s="180"/>
      <c r="M21" s="787"/>
    </row>
    <row r="22" spans="1:13" hidden="1" x14ac:dyDescent="0.3">
      <c r="A22" s="787" t="s">
        <v>1728</v>
      </c>
      <c r="B22" s="787" t="s">
        <v>1729</v>
      </c>
      <c r="C22" s="790">
        <v>0.87</v>
      </c>
      <c r="D22" s="789">
        <v>2015</v>
      </c>
      <c r="E22" s="789">
        <v>2023</v>
      </c>
      <c r="F22" s="787"/>
      <c r="G22" s="180"/>
      <c r="H22" s="180"/>
      <c r="I22" s="180"/>
      <c r="J22" s="180"/>
      <c r="K22" s="180"/>
      <c r="L22" s="180"/>
      <c r="M22" s="787"/>
    </row>
    <row r="23" spans="1:13" hidden="1" x14ac:dyDescent="0.3">
      <c r="A23" s="787" t="s">
        <v>1677</v>
      </c>
      <c r="B23" s="787" t="s">
        <v>1678</v>
      </c>
      <c r="C23" s="790">
        <v>0.33</v>
      </c>
      <c r="D23" s="789">
        <v>2020</v>
      </c>
      <c r="E23" s="789">
        <v>2024</v>
      </c>
      <c r="F23" s="787"/>
      <c r="G23" s="180"/>
      <c r="H23" s="180"/>
      <c r="I23" s="180"/>
      <c r="J23" s="180"/>
      <c r="K23" s="180"/>
      <c r="L23" s="180"/>
      <c r="M23" s="787"/>
    </row>
    <row r="24" spans="1:13" hidden="1" x14ac:dyDescent="0.3">
      <c r="A24" s="787" t="s">
        <v>1730</v>
      </c>
      <c r="B24" s="787" t="s">
        <v>842</v>
      </c>
      <c r="C24" s="790">
        <v>0.73499999999999999</v>
      </c>
      <c r="D24" s="789">
        <v>2016</v>
      </c>
      <c r="E24" s="789">
        <v>2023</v>
      </c>
      <c r="F24" s="787"/>
      <c r="G24" s="180"/>
      <c r="H24" s="180"/>
      <c r="I24" s="180"/>
      <c r="J24" s="180"/>
      <c r="K24" s="180"/>
      <c r="L24" s="180"/>
      <c r="M24" s="787"/>
    </row>
    <row r="25" spans="1:13" hidden="1" x14ac:dyDescent="0.3">
      <c r="A25" s="787" t="s">
        <v>1731</v>
      </c>
      <c r="B25" s="787" t="s">
        <v>1732</v>
      </c>
      <c r="C25" s="790">
        <v>0.57499999999999996</v>
      </c>
      <c r="D25" s="789">
        <v>2019</v>
      </c>
      <c r="E25" s="789">
        <v>2023</v>
      </c>
      <c r="F25" s="787"/>
      <c r="G25" s="180"/>
      <c r="H25" s="180"/>
      <c r="I25" s="180"/>
      <c r="J25" s="180"/>
      <c r="K25" s="180"/>
      <c r="L25" s="180"/>
      <c r="M25" s="787"/>
    </row>
    <row r="26" spans="1:13" x14ac:dyDescent="0.3">
      <c r="A26" s="787" t="s">
        <v>1733</v>
      </c>
      <c r="B26" s="787" t="s">
        <v>1734</v>
      </c>
      <c r="C26" s="790">
        <v>0.66500000000000004</v>
      </c>
      <c r="D26" s="789">
        <v>2021</v>
      </c>
      <c r="E26" s="789">
        <v>2025</v>
      </c>
      <c r="F26" s="787"/>
      <c r="G26" s="180"/>
      <c r="H26" s="180"/>
      <c r="I26" s="180"/>
      <c r="J26" s="180"/>
      <c r="K26" s="180"/>
      <c r="L26" s="180"/>
      <c r="M26" s="787"/>
    </row>
    <row r="27" spans="1:13" hidden="1" x14ac:dyDescent="0.3">
      <c r="A27" s="787" t="s">
        <v>1735</v>
      </c>
      <c r="B27" s="787" t="s">
        <v>843</v>
      </c>
      <c r="C27" s="790">
        <v>0.5</v>
      </c>
      <c r="D27" s="789">
        <v>2020</v>
      </c>
      <c r="E27" s="789">
        <v>2028</v>
      </c>
      <c r="F27" s="787"/>
      <c r="G27" s="180"/>
      <c r="H27" s="180"/>
      <c r="I27" s="180"/>
      <c r="J27" s="180"/>
      <c r="K27" s="180"/>
      <c r="L27" s="180"/>
      <c r="M27" s="787"/>
    </row>
    <row r="28" spans="1:13" hidden="1" x14ac:dyDescent="0.3">
      <c r="A28" s="787" t="s">
        <v>1736</v>
      </c>
      <c r="B28" s="787" t="s">
        <v>1737</v>
      </c>
      <c r="C28" s="790">
        <v>0.755</v>
      </c>
      <c r="D28" s="789">
        <v>2014</v>
      </c>
      <c r="E28" s="789">
        <v>2022</v>
      </c>
      <c r="G28" s="180"/>
      <c r="H28" s="180"/>
      <c r="I28" s="180"/>
      <c r="J28" s="180"/>
      <c r="K28" s="180"/>
      <c r="L28" s="180"/>
      <c r="M28" s="787"/>
    </row>
    <row r="29" spans="1:13" hidden="1" x14ac:dyDescent="0.3">
      <c r="A29" s="787" t="s">
        <v>1738</v>
      </c>
      <c r="B29" s="787" t="s">
        <v>1739</v>
      </c>
      <c r="C29" s="790">
        <v>0.43</v>
      </c>
      <c r="D29" s="789">
        <v>2018</v>
      </c>
      <c r="E29" s="789">
        <v>2026</v>
      </c>
      <c r="G29" s="180"/>
      <c r="H29" s="180"/>
      <c r="I29" s="180"/>
      <c r="J29" s="180"/>
      <c r="K29" s="180"/>
      <c r="L29" s="180"/>
      <c r="M29" s="787"/>
    </row>
    <row r="30" spans="1:13" x14ac:dyDescent="0.3">
      <c r="A30" s="787" t="s">
        <v>1740</v>
      </c>
      <c r="B30" s="787" t="s">
        <v>1741</v>
      </c>
      <c r="C30" s="790">
        <v>0.6875</v>
      </c>
      <c r="D30" s="789">
        <v>2021</v>
      </c>
      <c r="E30" s="789">
        <v>2025</v>
      </c>
      <c r="F30" s="787"/>
      <c r="G30" s="180"/>
      <c r="H30" s="180"/>
      <c r="I30" s="180"/>
      <c r="J30" s="180"/>
      <c r="K30" s="180"/>
      <c r="L30" s="180"/>
      <c r="M30" s="787"/>
    </row>
    <row r="31" spans="1:13" hidden="1" x14ac:dyDescent="0.3">
      <c r="A31" s="787" t="s">
        <v>1742</v>
      </c>
      <c r="B31" s="787" t="s">
        <v>844</v>
      </c>
      <c r="C31" s="790">
        <v>0.80500000000000005</v>
      </c>
      <c r="D31" s="789">
        <v>2021</v>
      </c>
      <c r="E31" s="789">
        <v>2029</v>
      </c>
      <c r="F31" s="787"/>
      <c r="G31" s="180"/>
      <c r="H31" s="180"/>
      <c r="I31" s="180"/>
      <c r="J31" s="180"/>
      <c r="K31" s="180"/>
      <c r="L31" s="180"/>
      <c r="M31" s="787"/>
    </row>
    <row r="32" spans="1:13" hidden="1" x14ac:dyDescent="0.3">
      <c r="A32" s="787" t="s">
        <v>1743</v>
      </c>
      <c r="B32" s="787" t="s">
        <v>1744</v>
      </c>
      <c r="C32" s="790">
        <v>0.56000000000000005</v>
      </c>
      <c r="D32" s="789">
        <v>2016</v>
      </c>
      <c r="E32" s="789">
        <v>2023</v>
      </c>
      <c r="F32" s="787"/>
      <c r="G32" s="180"/>
      <c r="H32" s="180"/>
      <c r="I32" s="180"/>
      <c r="J32" s="180"/>
      <c r="K32" s="180"/>
      <c r="L32" s="180"/>
      <c r="M32" s="787"/>
    </row>
    <row r="33" spans="1:13" x14ac:dyDescent="0.3">
      <c r="A33" s="787" t="s">
        <v>1745</v>
      </c>
      <c r="B33" s="787" t="s">
        <v>1746</v>
      </c>
      <c r="C33" s="790">
        <v>0.79900000000000004</v>
      </c>
      <c r="D33" s="789">
        <v>2017</v>
      </c>
      <c r="E33" s="789">
        <v>2025</v>
      </c>
      <c r="F33" s="787"/>
      <c r="G33" s="180"/>
      <c r="H33" s="180"/>
      <c r="I33" s="180"/>
      <c r="J33" s="180"/>
      <c r="K33" s="180"/>
      <c r="L33" s="180"/>
      <c r="M33" s="787"/>
    </row>
    <row r="34" spans="1:13" hidden="1" x14ac:dyDescent="0.3">
      <c r="A34" s="787" t="s">
        <v>1747</v>
      </c>
      <c r="B34" s="787" t="s">
        <v>1748</v>
      </c>
      <c r="C34" s="790">
        <v>0.46</v>
      </c>
      <c r="D34" s="789">
        <v>2021</v>
      </c>
      <c r="E34" s="789">
        <v>2029</v>
      </c>
      <c r="F34" s="787"/>
      <c r="G34" s="180"/>
      <c r="H34" s="180"/>
      <c r="I34" s="180"/>
      <c r="J34" s="180"/>
      <c r="K34" s="180"/>
      <c r="L34" s="180"/>
      <c r="M34" s="787"/>
    </row>
    <row r="35" spans="1:13" x14ac:dyDescent="0.3">
      <c r="A35" s="787" t="s">
        <v>1749</v>
      </c>
      <c r="B35" s="787" t="s">
        <v>1750</v>
      </c>
      <c r="C35" s="790">
        <v>0.40050000000000002</v>
      </c>
      <c r="D35" s="789">
        <v>2020</v>
      </c>
      <c r="E35" s="789">
        <v>2025</v>
      </c>
      <c r="F35" s="787"/>
      <c r="G35" s="180"/>
      <c r="H35" s="180"/>
      <c r="I35" s="180"/>
      <c r="J35" s="180"/>
      <c r="K35" s="180"/>
      <c r="L35" s="180"/>
      <c r="M35" s="787"/>
    </row>
    <row r="36" spans="1:13" hidden="1" x14ac:dyDescent="0.3">
      <c r="A36" s="787" t="s">
        <v>1751</v>
      </c>
      <c r="B36" s="787" t="s">
        <v>1752</v>
      </c>
      <c r="C36" s="790">
        <v>0.54</v>
      </c>
      <c r="D36" s="789">
        <v>2021</v>
      </c>
      <c r="E36" s="789">
        <v>2027</v>
      </c>
      <c r="F36" s="787"/>
      <c r="G36" s="180"/>
      <c r="H36" s="180"/>
      <c r="I36" s="180"/>
      <c r="J36" s="180"/>
      <c r="K36" s="180"/>
      <c r="L36" s="180"/>
      <c r="M36" s="787"/>
    </row>
    <row r="37" spans="1:13" x14ac:dyDescent="0.3">
      <c r="A37" s="787" t="s">
        <v>1753</v>
      </c>
      <c r="B37" s="787" t="s">
        <v>1754</v>
      </c>
      <c r="C37" s="790">
        <v>0.73299999999999998</v>
      </c>
      <c r="D37" s="789">
        <v>2021</v>
      </c>
      <c r="E37" s="789">
        <v>2025</v>
      </c>
      <c r="F37" s="787"/>
      <c r="G37" s="180"/>
      <c r="H37" s="180"/>
      <c r="I37" s="180"/>
      <c r="J37" s="180"/>
      <c r="K37" s="180"/>
      <c r="L37" s="180"/>
      <c r="M37" s="787"/>
    </row>
    <row r="38" spans="1:13" hidden="1" x14ac:dyDescent="0.3">
      <c r="A38" s="787" t="s">
        <v>1755</v>
      </c>
      <c r="B38" s="787" t="s">
        <v>1756</v>
      </c>
      <c r="C38" s="790">
        <v>0.73499999999999999</v>
      </c>
      <c r="D38" s="789">
        <v>2017</v>
      </c>
      <c r="E38" s="789">
        <v>2022</v>
      </c>
      <c r="F38" s="787"/>
      <c r="G38" s="180"/>
      <c r="H38" s="180"/>
      <c r="I38" s="180"/>
      <c r="J38" s="180"/>
      <c r="K38" s="180"/>
      <c r="L38" s="180"/>
      <c r="M38" s="787"/>
    </row>
    <row r="39" spans="1:13" hidden="1" x14ac:dyDescent="0.3">
      <c r="A39" s="787" t="s">
        <v>1757</v>
      </c>
      <c r="B39" s="787" t="s">
        <v>1758</v>
      </c>
      <c r="C39" s="790">
        <v>0.72219999999999995</v>
      </c>
      <c r="D39" s="789">
        <v>2019</v>
      </c>
      <c r="E39" s="789">
        <v>2026</v>
      </c>
      <c r="F39" s="787"/>
      <c r="G39" s="180"/>
      <c r="H39" s="180"/>
      <c r="I39" s="180"/>
      <c r="J39" s="180"/>
      <c r="K39" s="180"/>
      <c r="L39" s="180"/>
      <c r="M39" s="787"/>
    </row>
    <row r="40" spans="1:13" hidden="1" x14ac:dyDescent="0.3">
      <c r="A40" s="787" t="s">
        <v>1679</v>
      </c>
      <c r="B40" s="787" t="s">
        <v>494</v>
      </c>
      <c r="C40" s="790">
        <v>0.95</v>
      </c>
      <c r="D40" s="789">
        <v>2017</v>
      </c>
      <c r="E40" s="789">
        <v>2024</v>
      </c>
      <c r="F40" s="787"/>
      <c r="G40" s="180"/>
      <c r="H40" s="180"/>
      <c r="I40" s="180"/>
      <c r="J40" s="180"/>
      <c r="K40" s="180"/>
      <c r="L40" s="180"/>
      <c r="M40" s="787"/>
    </row>
    <row r="41" spans="1:13" x14ac:dyDescent="0.3">
      <c r="A41" s="787" t="s">
        <v>1759</v>
      </c>
      <c r="B41" s="787" t="s">
        <v>1760</v>
      </c>
      <c r="C41" s="790">
        <v>0.67779999999999996</v>
      </c>
      <c r="D41" s="789">
        <v>2021</v>
      </c>
      <c r="E41" s="789">
        <v>2025</v>
      </c>
      <c r="F41" s="787"/>
      <c r="G41" s="180"/>
      <c r="H41" s="180"/>
      <c r="I41" s="180"/>
      <c r="J41" s="180"/>
      <c r="K41" s="180"/>
      <c r="L41" s="180"/>
      <c r="M41" s="787"/>
    </row>
    <row r="42" spans="1:13" hidden="1" x14ac:dyDescent="0.3">
      <c r="A42" s="787" t="s">
        <v>1680</v>
      </c>
      <c r="B42" s="787" t="s">
        <v>1681</v>
      </c>
      <c r="C42" s="790">
        <v>0.79500000000000004</v>
      </c>
      <c r="D42" s="789">
        <v>2018</v>
      </c>
      <c r="E42" s="789">
        <v>2024</v>
      </c>
      <c r="F42" s="787"/>
      <c r="G42" s="180"/>
      <c r="H42" s="180"/>
      <c r="I42" s="180"/>
      <c r="J42" s="180"/>
      <c r="K42" s="180"/>
      <c r="L42" s="180"/>
      <c r="M42" s="787"/>
    </row>
    <row r="43" spans="1:13" hidden="1" x14ac:dyDescent="0.3">
      <c r="A43" s="787" t="s">
        <v>1761</v>
      </c>
      <c r="B43" s="787" t="s">
        <v>1762</v>
      </c>
      <c r="C43" s="790">
        <v>0.83</v>
      </c>
      <c r="D43" s="789">
        <v>2019</v>
      </c>
      <c r="E43" s="789">
        <v>2023</v>
      </c>
      <c r="F43" s="787"/>
      <c r="G43" s="180"/>
      <c r="H43" s="180"/>
      <c r="I43" s="180"/>
      <c r="J43" s="180"/>
      <c r="K43" s="180"/>
      <c r="L43" s="180"/>
      <c r="M43" s="787"/>
    </row>
    <row r="44" spans="1:13" x14ac:dyDescent="0.3">
      <c r="A44" s="787" t="s">
        <v>1763</v>
      </c>
      <c r="B44" s="787" t="s">
        <v>1764</v>
      </c>
      <c r="C44" s="790">
        <v>0.79</v>
      </c>
      <c r="D44" s="789">
        <v>2017</v>
      </c>
      <c r="E44" s="789">
        <v>2025</v>
      </c>
      <c r="F44" s="787"/>
      <c r="G44" s="180"/>
      <c r="H44" s="180"/>
      <c r="I44" s="180"/>
      <c r="J44" s="180"/>
      <c r="K44" s="180"/>
      <c r="L44" s="180"/>
      <c r="M44" s="787"/>
    </row>
    <row r="45" spans="1:13" hidden="1" x14ac:dyDescent="0.3">
      <c r="A45" s="787" t="s">
        <v>1765</v>
      </c>
      <c r="B45" s="787" t="s">
        <v>1766</v>
      </c>
      <c r="C45" s="790">
        <v>0.65</v>
      </c>
      <c r="D45" s="789">
        <v>2019</v>
      </c>
      <c r="E45" s="789">
        <v>2023</v>
      </c>
      <c r="F45" s="787"/>
      <c r="G45" s="180"/>
      <c r="H45" s="180"/>
      <c r="I45" s="180"/>
      <c r="J45" s="180"/>
      <c r="K45" s="180"/>
      <c r="L45" s="180"/>
      <c r="M45" s="787"/>
    </row>
    <row r="46" spans="1:13" hidden="1" x14ac:dyDescent="0.3">
      <c r="A46" s="787" t="s">
        <v>1682</v>
      </c>
      <c r="B46" s="787" t="s">
        <v>1683</v>
      </c>
      <c r="C46" s="790">
        <v>0.84</v>
      </c>
      <c r="D46" s="789">
        <v>2018</v>
      </c>
      <c r="E46" s="789">
        <v>2024</v>
      </c>
      <c r="F46" s="787"/>
      <c r="G46" s="180"/>
      <c r="H46" s="180"/>
      <c r="I46" s="180"/>
      <c r="J46" s="180"/>
      <c r="K46" s="180"/>
      <c r="L46" s="180"/>
      <c r="M46" s="787"/>
    </row>
    <row r="47" spans="1:13" hidden="1" x14ac:dyDescent="0.3">
      <c r="A47" s="787" t="s">
        <v>1767</v>
      </c>
      <c r="B47" s="787" t="s">
        <v>1768</v>
      </c>
      <c r="C47" s="790">
        <v>0.78600000000000003</v>
      </c>
      <c r="D47" s="789">
        <v>2021</v>
      </c>
      <c r="E47" s="789">
        <v>2029</v>
      </c>
      <c r="F47" s="787"/>
      <c r="G47" s="180"/>
      <c r="H47" s="180"/>
      <c r="I47" s="180"/>
      <c r="J47" s="180"/>
      <c r="K47" s="180"/>
      <c r="L47" s="180"/>
      <c r="M47" s="787"/>
    </row>
    <row r="48" spans="1:13" hidden="1" x14ac:dyDescent="0.3">
      <c r="A48" s="787" t="s">
        <v>1769</v>
      </c>
      <c r="B48" s="787" t="s">
        <v>1770</v>
      </c>
      <c r="C48" s="790">
        <v>0.73050000000000004</v>
      </c>
      <c r="D48" s="789">
        <v>2017</v>
      </c>
      <c r="E48" s="789">
        <v>2022</v>
      </c>
      <c r="F48" s="787"/>
      <c r="G48" s="180"/>
      <c r="H48" s="180"/>
      <c r="I48" s="180"/>
      <c r="J48" s="180"/>
      <c r="K48" s="180"/>
      <c r="L48" s="180"/>
      <c r="M48" s="787"/>
    </row>
    <row r="49" spans="1:13" hidden="1" x14ac:dyDescent="0.3">
      <c r="A49" s="787" t="s">
        <v>1684</v>
      </c>
      <c r="B49" s="787" t="s">
        <v>1685</v>
      </c>
      <c r="C49" s="790">
        <v>0.76</v>
      </c>
      <c r="D49" s="789">
        <v>2020</v>
      </c>
      <c r="E49" s="789">
        <v>2024</v>
      </c>
      <c r="F49" s="787"/>
      <c r="G49" s="180"/>
      <c r="H49" s="180"/>
      <c r="I49" s="180"/>
      <c r="J49" s="180"/>
      <c r="K49" s="180"/>
      <c r="L49" s="180"/>
      <c r="M49" s="787"/>
    </row>
    <row r="50" spans="1:13" hidden="1" x14ac:dyDescent="0.3">
      <c r="A50" s="787" t="s">
        <v>1771</v>
      </c>
      <c r="B50" s="787" t="s">
        <v>1772</v>
      </c>
      <c r="C50" s="790">
        <v>0.75</v>
      </c>
      <c r="D50" s="789">
        <v>2017</v>
      </c>
      <c r="E50" s="789">
        <v>2022</v>
      </c>
      <c r="F50" s="787"/>
      <c r="G50" s="180"/>
      <c r="H50" s="180"/>
      <c r="I50" s="180"/>
      <c r="J50" s="180"/>
      <c r="K50" s="180"/>
      <c r="L50" s="180"/>
      <c r="M50" s="787"/>
    </row>
    <row r="51" spans="1:13" x14ac:dyDescent="0.3">
      <c r="A51" s="787" t="s">
        <v>1773</v>
      </c>
      <c r="B51" s="787" t="s">
        <v>1774</v>
      </c>
      <c r="C51" s="790">
        <v>0.53500000000000003</v>
      </c>
      <c r="D51" s="789">
        <v>2021</v>
      </c>
      <c r="E51" s="789">
        <v>2025</v>
      </c>
      <c r="F51" s="787"/>
      <c r="G51" s="180"/>
      <c r="H51" s="180"/>
      <c r="I51" s="180"/>
      <c r="J51" s="180"/>
      <c r="K51" s="180"/>
      <c r="L51" s="180"/>
      <c r="M51" s="787"/>
    </row>
    <row r="52" spans="1:13" hidden="1" x14ac:dyDescent="0.3">
      <c r="A52" s="787" t="s">
        <v>1775</v>
      </c>
      <c r="B52" s="787" t="s">
        <v>1776</v>
      </c>
      <c r="C52" s="790">
        <v>0.56100000000000005</v>
      </c>
      <c r="D52" s="789">
        <v>2019</v>
      </c>
      <c r="E52" s="789">
        <v>2023</v>
      </c>
      <c r="F52" s="787"/>
      <c r="G52" s="180"/>
      <c r="H52" s="180"/>
      <c r="I52" s="180"/>
      <c r="J52" s="180"/>
      <c r="K52" s="180"/>
      <c r="L52" s="180"/>
      <c r="M52" s="787"/>
    </row>
    <row r="53" spans="1:13" hidden="1" x14ac:dyDescent="0.3">
      <c r="A53" s="787" t="s">
        <v>1777</v>
      </c>
      <c r="B53" s="787" t="s">
        <v>1778</v>
      </c>
      <c r="C53" s="790">
        <v>0.84</v>
      </c>
      <c r="D53" s="789">
        <v>2019</v>
      </c>
      <c r="E53" s="789">
        <v>2027</v>
      </c>
      <c r="F53" s="787"/>
      <c r="G53" s="180"/>
      <c r="H53" s="180"/>
      <c r="I53" s="180"/>
      <c r="J53" s="180"/>
      <c r="K53" s="180"/>
      <c r="L53" s="180"/>
      <c r="M53" s="787"/>
    </row>
    <row r="54" spans="1:13" hidden="1" x14ac:dyDescent="0.3">
      <c r="A54" s="787" t="s">
        <v>1779</v>
      </c>
      <c r="B54" s="787" t="s">
        <v>1780</v>
      </c>
      <c r="C54" s="790">
        <v>0.75</v>
      </c>
      <c r="D54" s="789">
        <v>2014</v>
      </c>
      <c r="E54" s="789">
        <v>2022</v>
      </c>
      <c r="F54" s="787"/>
      <c r="G54" s="180"/>
      <c r="H54" s="180"/>
      <c r="I54" s="180"/>
      <c r="J54" s="180"/>
      <c r="K54" s="180"/>
      <c r="L54" s="180"/>
      <c r="M54" s="787"/>
    </row>
    <row r="55" spans="1:13" hidden="1" x14ac:dyDescent="0.3">
      <c r="A55" s="787" t="s">
        <v>1781</v>
      </c>
      <c r="B55" s="787" t="s">
        <v>515</v>
      </c>
      <c r="C55" s="790">
        <v>0.79500000000000004</v>
      </c>
      <c r="D55" s="789">
        <v>2017</v>
      </c>
      <c r="E55" s="789">
        <v>2023</v>
      </c>
      <c r="F55" s="787"/>
      <c r="G55" s="180"/>
      <c r="H55" s="180"/>
      <c r="I55" s="180"/>
      <c r="J55" s="180"/>
      <c r="K55" s="180"/>
      <c r="L55" s="180"/>
      <c r="M55" s="787"/>
    </row>
    <row r="56" spans="1:13" hidden="1" x14ac:dyDescent="0.3">
      <c r="A56" s="787" t="s">
        <v>1782</v>
      </c>
      <c r="B56" s="787" t="s">
        <v>1783</v>
      </c>
      <c r="C56" s="790">
        <v>0.53749999999999998</v>
      </c>
      <c r="D56" s="789">
        <v>2019</v>
      </c>
      <c r="E56" s="789">
        <v>2023</v>
      </c>
      <c r="F56" s="787"/>
      <c r="G56" s="180"/>
      <c r="H56" s="180"/>
      <c r="I56" s="180"/>
      <c r="J56" s="180"/>
      <c r="K56" s="180"/>
      <c r="L56" s="180"/>
      <c r="M56" s="787"/>
    </row>
    <row r="57" spans="1:13" x14ac:dyDescent="0.3">
      <c r="A57" s="787" t="s">
        <v>1784</v>
      </c>
      <c r="B57" s="787" t="s">
        <v>1785</v>
      </c>
      <c r="C57" s="790">
        <v>0.36</v>
      </c>
      <c r="D57" s="789">
        <v>2021</v>
      </c>
      <c r="E57" s="789">
        <v>2025</v>
      </c>
      <c r="F57" s="787"/>
      <c r="G57" s="180"/>
      <c r="H57" s="180"/>
      <c r="I57" s="180"/>
      <c r="J57" s="180"/>
      <c r="K57" s="180"/>
      <c r="L57" s="180"/>
      <c r="M57" s="787"/>
    </row>
    <row r="58" spans="1:13" x14ac:dyDescent="0.3">
      <c r="A58" s="787" t="s">
        <v>1786</v>
      </c>
      <c r="B58" s="787" t="s">
        <v>1787</v>
      </c>
      <c r="C58" s="788">
        <v>0.73</v>
      </c>
      <c r="D58" s="789">
        <v>2019</v>
      </c>
      <c r="E58" s="789">
        <v>2025</v>
      </c>
      <c r="F58" s="787"/>
      <c r="G58" s="180"/>
      <c r="H58" s="180"/>
      <c r="I58" s="180"/>
      <c r="J58" s="180"/>
      <c r="K58" s="180"/>
      <c r="L58" s="180"/>
      <c r="M58" s="787"/>
    </row>
    <row r="59" spans="1:13" hidden="1" x14ac:dyDescent="0.3">
      <c r="A59" s="787" t="s">
        <v>1788</v>
      </c>
      <c r="B59" s="787" t="s">
        <v>1789</v>
      </c>
      <c r="C59" s="788">
        <v>0.75</v>
      </c>
      <c r="D59" s="789">
        <v>2014</v>
      </c>
      <c r="E59" s="789">
        <v>2022</v>
      </c>
      <c r="F59" s="787"/>
      <c r="G59" s="180"/>
      <c r="H59" s="180"/>
      <c r="I59" s="180"/>
      <c r="J59" s="180"/>
      <c r="K59" s="180"/>
      <c r="L59" s="180"/>
      <c r="M59" s="787"/>
    </row>
    <row r="60" spans="1:13" hidden="1" x14ac:dyDescent="0.3">
      <c r="A60" s="787" t="s">
        <v>1790</v>
      </c>
      <c r="B60" s="787" t="s">
        <v>1791</v>
      </c>
      <c r="C60" s="788">
        <v>0.76</v>
      </c>
      <c r="D60" s="789">
        <v>2019</v>
      </c>
      <c r="E60" s="789">
        <v>2023</v>
      </c>
      <c r="F60" s="787"/>
      <c r="G60" s="180"/>
      <c r="H60" s="180"/>
      <c r="I60" s="180"/>
      <c r="J60" s="180"/>
      <c r="K60" s="180"/>
      <c r="L60" s="180"/>
      <c r="M60" s="787"/>
    </row>
    <row r="61" spans="1:13" x14ac:dyDescent="0.3">
      <c r="A61" s="787" t="s">
        <v>1792</v>
      </c>
      <c r="B61" s="787" t="s">
        <v>1793</v>
      </c>
      <c r="C61" s="788">
        <v>0.84499999999999997</v>
      </c>
      <c r="D61" s="789">
        <v>2017</v>
      </c>
      <c r="E61" s="789">
        <v>2025</v>
      </c>
      <c r="F61" s="787"/>
      <c r="G61" s="180"/>
      <c r="H61" s="180"/>
      <c r="I61" s="180"/>
      <c r="J61" s="180"/>
      <c r="K61" s="180"/>
      <c r="L61" s="180"/>
      <c r="M61" s="787"/>
    </row>
    <row r="62" spans="1:13" hidden="1" x14ac:dyDescent="0.3">
      <c r="A62" s="787" t="s">
        <v>1794</v>
      </c>
      <c r="B62" s="787" t="s">
        <v>1795</v>
      </c>
      <c r="C62" s="788">
        <v>0.61899999999999999</v>
      </c>
      <c r="D62" s="789">
        <v>2019</v>
      </c>
      <c r="E62" s="789">
        <v>2023</v>
      </c>
      <c r="F62" s="787"/>
      <c r="G62" s="180"/>
      <c r="H62" s="180"/>
      <c r="I62" s="180"/>
      <c r="J62" s="180"/>
      <c r="K62" s="180"/>
      <c r="L62" s="180"/>
      <c r="M62" s="787"/>
    </row>
    <row r="63" spans="1:13" hidden="1" x14ac:dyDescent="0.3">
      <c r="A63" s="787" t="s">
        <v>1796</v>
      </c>
      <c r="B63" s="787" t="s">
        <v>1797</v>
      </c>
      <c r="C63" s="788">
        <v>0.4</v>
      </c>
      <c r="D63" s="789">
        <v>2019</v>
      </c>
      <c r="E63" s="789">
        <v>2023</v>
      </c>
      <c r="F63" s="787"/>
      <c r="G63" s="180"/>
      <c r="H63" s="180"/>
      <c r="I63" s="180"/>
      <c r="J63" s="180"/>
      <c r="K63" s="180"/>
      <c r="L63" s="180"/>
      <c r="M63" s="787"/>
    </row>
    <row r="64" spans="1:13" hidden="1" x14ac:dyDescent="0.3">
      <c r="A64" s="787" t="s">
        <v>1798</v>
      </c>
      <c r="B64" s="787" t="s">
        <v>1799</v>
      </c>
      <c r="C64" s="788">
        <v>0.5</v>
      </c>
      <c r="D64" s="789">
        <v>2020</v>
      </c>
      <c r="E64" s="789">
        <v>2028</v>
      </c>
      <c r="F64" s="787"/>
      <c r="G64" s="180"/>
      <c r="H64" s="180"/>
      <c r="I64" s="180"/>
      <c r="J64" s="180"/>
      <c r="K64" s="180"/>
      <c r="L64" s="180"/>
      <c r="M64" s="787"/>
    </row>
    <row r="65" spans="1:13" x14ac:dyDescent="0.3">
      <c r="A65" s="787" t="s">
        <v>1800</v>
      </c>
      <c r="B65" s="787" t="s">
        <v>845</v>
      </c>
      <c r="C65" s="788">
        <v>0.81</v>
      </c>
      <c r="D65" s="789">
        <v>2017</v>
      </c>
      <c r="E65" s="789">
        <v>2025</v>
      </c>
      <c r="F65" s="787"/>
      <c r="G65" s="180"/>
      <c r="H65" s="180"/>
      <c r="I65" s="180"/>
      <c r="J65" s="180"/>
      <c r="K65" s="180"/>
      <c r="L65" s="180"/>
      <c r="M65" s="787"/>
    </row>
    <row r="66" spans="1:13" hidden="1" x14ac:dyDescent="0.3">
      <c r="A66" s="787" t="s">
        <v>1801</v>
      </c>
      <c r="B66" s="787" t="s">
        <v>1802</v>
      </c>
      <c r="C66" s="788">
        <v>0.57750000000000001</v>
      </c>
      <c r="D66" s="789">
        <v>2019</v>
      </c>
      <c r="E66" s="789">
        <v>2023</v>
      </c>
      <c r="F66" s="787"/>
      <c r="G66" s="180"/>
      <c r="H66" s="180"/>
      <c r="I66" s="180"/>
      <c r="J66" s="180"/>
      <c r="K66" s="180"/>
      <c r="L66" s="180"/>
      <c r="M66" s="787"/>
    </row>
    <row r="67" spans="1:13" hidden="1" x14ac:dyDescent="0.3">
      <c r="A67" s="787" t="s">
        <v>1803</v>
      </c>
      <c r="B67" s="787" t="s">
        <v>1804</v>
      </c>
      <c r="C67" s="788">
        <v>0.6169</v>
      </c>
      <c r="D67" s="789">
        <v>2019</v>
      </c>
      <c r="E67" s="789">
        <v>2023</v>
      </c>
      <c r="F67" s="787"/>
      <c r="G67" s="180"/>
      <c r="H67" s="180"/>
      <c r="I67" s="180"/>
      <c r="J67" s="180"/>
      <c r="K67" s="180"/>
      <c r="L67" s="180"/>
      <c r="M67" s="787"/>
    </row>
    <row r="68" spans="1:13" hidden="1" x14ac:dyDescent="0.3">
      <c r="A68" s="787" t="s">
        <v>1805</v>
      </c>
      <c r="B68" s="787" t="s">
        <v>1806</v>
      </c>
      <c r="C68" s="788">
        <v>0.57999999999999996</v>
      </c>
      <c r="D68" s="789">
        <v>2018</v>
      </c>
      <c r="E68" s="789">
        <v>2022</v>
      </c>
      <c r="F68" s="787"/>
      <c r="G68" s="180"/>
      <c r="H68" s="180"/>
      <c r="I68" s="180"/>
      <c r="J68" s="180"/>
      <c r="K68" s="180"/>
      <c r="L68" s="180"/>
      <c r="M68" s="787"/>
    </row>
    <row r="69" spans="1:13" hidden="1" x14ac:dyDescent="0.3">
      <c r="A69" s="787" t="s">
        <v>1807</v>
      </c>
      <c r="B69" s="787" t="s">
        <v>1808</v>
      </c>
      <c r="C69" s="788">
        <v>0.61499999999999999</v>
      </c>
      <c r="D69" s="789">
        <v>2020</v>
      </c>
      <c r="E69" s="789">
        <v>2028</v>
      </c>
      <c r="F69" s="787"/>
      <c r="G69" s="180"/>
      <c r="H69" s="180"/>
      <c r="I69" s="180"/>
      <c r="J69" s="180"/>
      <c r="K69" s="180"/>
      <c r="L69" s="180"/>
      <c r="M69" s="787"/>
    </row>
    <row r="70" spans="1:13" hidden="1" x14ac:dyDescent="0.3">
      <c r="A70" s="787" t="s">
        <v>1809</v>
      </c>
      <c r="B70" s="787" t="s">
        <v>1810</v>
      </c>
      <c r="C70" s="788">
        <v>0.51</v>
      </c>
      <c r="D70" s="789">
        <v>2019</v>
      </c>
      <c r="E70" s="789">
        <v>2023</v>
      </c>
      <c r="F70" s="787"/>
      <c r="G70" s="180"/>
      <c r="H70" s="180"/>
      <c r="I70" s="180"/>
      <c r="J70" s="180"/>
      <c r="K70" s="180"/>
      <c r="L70" s="180"/>
      <c r="M70" s="787"/>
    </row>
    <row r="71" spans="1:13" hidden="1" x14ac:dyDescent="0.3">
      <c r="A71" s="787" t="s">
        <v>1686</v>
      </c>
      <c r="B71" s="787" t="s">
        <v>1687</v>
      </c>
      <c r="C71" s="788">
        <v>0.67</v>
      </c>
      <c r="D71" s="789">
        <v>2017</v>
      </c>
      <c r="E71" s="789">
        <v>2024</v>
      </c>
      <c r="F71" s="787"/>
      <c r="G71" s="180"/>
      <c r="H71" s="180"/>
      <c r="I71" s="180"/>
      <c r="J71" s="180"/>
      <c r="K71" s="180"/>
      <c r="L71" s="180"/>
      <c r="M71" s="787"/>
    </row>
    <row r="72" spans="1:13" x14ac:dyDescent="0.3">
      <c r="A72" s="787" t="s">
        <v>1811</v>
      </c>
      <c r="B72" s="787" t="s">
        <v>1812</v>
      </c>
      <c r="C72" s="788">
        <v>0.47499999999999998</v>
      </c>
      <c r="D72" s="789">
        <v>2021</v>
      </c>
      <c r="E72" s="789">
        <v>2025</v>
      </c>
      <c r="F72" s="787"/>
      <c r="G72" s="180"/>
      <c r="H72" s="180"/>
      <c r="I72" s="180"/>
      <c r="J72" s="180"/>
      <c r="K72" s="180"/>
      <c r="L72" s="180"/>
      <c r="M72" s="787"/>
    </row>
    <row r="73" spans="1:13" hidden="1" x14ac:dyDescent="0.3">
      <c r="A73" s="606" t="s">
        <v>1813</v>
      </c>
      <c r="B73" s="606" t="s">
        <v>524</v>
      </c>
      <c r="C73" s="791">
        <v>0.90500000000000003</v>
      </c>
      <c r="D73" s="607">
        <v>2015</v>
      </c>
      <c r="E73" s="607">
        <v>2023</v>
      </c>
      <c r="G73" s="180"/>
      <c r="H73" s="180"/>
      <c r="I73" s="180"/>
      <c r="J73" s="180"/>
      <c r="K73" s="180"/>
      <c r="L73" s="180"/>
    </row>
    <row r="74" spans="1:13" hidden="1" x14ac:dyDescent="0.3">
      <c r="A74" s="606" t="s">
        <v>1814</v>
      </c>
      <c r="B74" s="606" t="s">
        <v>1815</v>
      </c>
      <c r="C74" s="791">
        <v>0.70499999999999996</v>
      </c>
      <c r="D74" s="607">
        <v>2018</v>
      </c>
      <c r="E74" s="607">
        <v>2022</v>
      </c>
      <c r="G74" s="180"/>
      <c r="H74" s="180"/>
      <c r="I74" s="180"/>
      <c r="J74" s="180"/>
      <c r="K74" s="180"/>
      <c r="L74" s="180"/>
    </row>
    <row r="75" spans="1:13" x14ac:dyDescent="0.3">
      <c r="A75" s="606" t="s">
        <v>1816</v>
      </c>
      <c r="B75" s="606" t="s">
        <v>1817</v>
      </c>
      <c r="C75" s="791">
        <v>0.81869999999999998</v>
      </c>
      <c r="D75" s="607">
        <v>2021</v>
      </c>
      <c r="E75" s="607">
        <v>2025</v>
      </c>
      <c r="G75" s="180"/>
      <c r="H75" s="180"/>
      <c r="I75" s="180"/>
      <c r="J75" s="180"/>
      <c r="K75" s="180"/>
      <c r="L75" s="180"/>
    </row>
    <row r="76" spans="1:13" hidden="1" x14ac:dyDescent="0.3">
      <c r="A76" s="606" t="s">
        <v>1818</v>
      </c>
      <c r="B76" s="606" t="s">
        <v>1819</v>
      </c>
      <c r="C76" s="791">
        <v>0.625</v>
      </c>
      <c r="D76" s="607">
        <v>2020</v>
      </c>
      <c r="E76" s="607">
        <v>2028</v>
      </c>
      <c r="G76" s="180"/>
      <c r="H76" s="180"/>
      <c r="I76" s="180"/>
      <c r="J76" s="180"/>
      <c r="K76" s="180"/>
      <c r="L76" s="180"/>
    </row>
    <row r="77" spans="1:13" hidden="1" x14ac:dyDescent="0.3">
      <c r="A77" s="606" t="s">
        <v>1820</v>
      </c>
      <c r="B77" s="606" t="s">
        <v>1821</v>
      </c>
      <c r="C77" s="791">
        <v>0.77</v>
      </c>
      <c r="D77" s="607">
        <v>2014</v>
      </c>
      <c r="E77" s="607">
        <v>2022</v>
      </c>
      <c r="G77" s="180"/>
      <c r="H77" s="180"/>
      <c r="I77" s="180"/>
      <c r="J77" s="180"/>
      <c r="K77" s="180"/>
      <c r="L77" s="180"/>
    </row>
    <row r="78" spans="1:13" hidden="1" x14ac:dyDescent="0.3">
      <c r="A78" s="606" t="s">
        <v>1822</v>
      </c>
      <c r="B78" s="606" t="s">
        <v>527</v>
      </c>
      <c r="C78" s="791">
        <v>0.64500000000000002</v>
      </c>
      <c r="D78" s="607">
        <v>2019</v>
      </c>
      <c r="E78" s="607">
        <v>2027</v>
      </c>
      <c r="G78" s="180"/>
      <c r="H78" s="180"/>
      <c r="I78" s="180"/>
      <c r="J78" s="180"/>
      <c r="K78" s="180"/>
      <c r="L78" s="180"/>
    </row>
    <row r="79" spans="1:13" hidden="1" x14ac:dyDescent="0.3">
      <c r="A79" s="606" t="s">
        <v>1688</v>
      </c>
      <c r="B79" s="606" t="s">
        <v>1689</v>
      </c>
      <c r="C79" s="791">
        <v>0.61</v>
      </c>
      <c r="D79" s="607">
        <v>2016</v>
      </c>
      <c r="E79" s="607">
        <v>2024</v>
      </c>
      <c r="G79" s="180"/>
      <c r="H79" s="180"/>
      <c r="I79" s="180"/>
      <c r="J79" s="180"/>
      <c r="K79" s="180"/>
      <c r="L79" s="180"/>
    </row>
    <row r="80" spans="1:13" x14ac:dyDescent="0.3">
      <c r="A80" s="606" t="s">
        <v>1823</v>
      </c>
      <c r="B80" s="606" t="s">
        <v>1824</v>
      </c>
      <c r="C80" s="791">
        <v>0.72</v>
      </c>
      <c r="D80" s="607">
        <v>2021</v>
      </c>
      <c r="E80" s="607">
        <v>2025</v>
      </c>
      <c r="G80" s="180"/>
      <c r="H80" s="180"/>
      <c r="I80" s="180"/>
      <c r="J80" s="180"/>
      <c r="K80" s="180"/>
      <c r="L80" s="180"/>
    </row>
    <row r="81" spans="1:12" hidden="1" x14ac:dyDescent="0.3">
      <c r="A81" s="606" t="s">
        <v>1690</v>
      </c>
      <c r="B81" s="606" t="s">
        <v>1691</v>
      </c>
      <c r="C81" s="791">
        <v>0.68410000000000004</v>
      </c>
      <c r="D81" s="607">
        <v>2020</v>
      </c>
      <c r="E81" s="607">
        <v>2024</v>
      </c>
      <c r="G81" s="180"/>
      <c r="H81" s="180"/>
      <c r="I81" s="180"/>
      <c r="J81" s="180"/>
      <c r="K81" s="180"/>
      <c r="L81" s="180"/>
    </row>
    <row r="82" spans="1:12" x14ac:dyDescent="0.3">
      <c r="A82" s="606" t="s">
        <v>1825</v>
      </c>
      <c r="B82" s="606" t="s">
        <v>1826</v>
      </c>
      <c r="C82" s="791">
        <v>0.51429999999999998</v>
      </c>
      <c r="D82" s="607">
        <v>2021</v>
      </c>
      <c r="E82" s="607">
        <v>2025</v>
      </c>
      <c r="G82" s="180"/>
      <c r="H82" s="180"/>
      <c r="I82" s="180"/>
      <c r="J82" s="180"/>
      <c r="K82" s="180"/>
      <c r="L82" s="180"/>
    </row>
    <row r="83" spans="1:12" hidden="1" x14ac:dyDescent="0.3">
      <c r="A83" s="606" t="s">
        <v>1827</v>
      </c>
      <c r="B83" s="606" t="s">
        <v>1828</v>
      </c>
      <c r="C83" s="791">
        <v>0.63270000000000004</v>
      </c>
      <c r="D83" s="607">
        <v>2019</v>
      </c>
      <c r="E83" s="607">
        <v>2023</v>
      </c>
      <c r="G83" s="180"/>
      <c r="H83" s="180"/>
      <c r="I83" s="180"/>
      <c r="J83" s="180"/>
      <c r="K83" s="180"/>
      <c r="L83" s="180"/>
    </row>
    <row r="84" spans="1:12" hidden="1" x14ac:dyDescent="0.3">
      <c r="A84" s="606" t="s">
        <v>1692</v>
      </c>
      <c r="B84" s="606" t="s">
        <v>1693</v>
      </c>
      <c r="C84" s="791">
        <v>0.83</v>
      </c>
      <c r="D84" s="607">
        <v>2016</v>
      </c>
      <c r="E84" s="607">
        <v>2024</v>
      </c>
      <c r="G84" s="180"/>
      <c r="H84" s="180"/>
      <c r="I84" s="180"/>
      <c r="J84" s="180"/>
      <c r="K84" s="180"/>
      <c r="L84" s="180"/>
    </row>
    <row r="85" spans="1:12" hidden="1" x14ac:dyDescent="0.3">
      <c r="A85" s="606" t="s">
        <v>1694</v>
      </c>
      <c r="B85" s="606" t="s">
        <v>1695</v>
      </c>
      <c r="C85" s="791">
        <v>0.77</v>
      </c>
      <c r="D85" s="607">
        <v>2018</v>
      </c>
      <c r="E85" s="607">
        <v>2024</v>
      </c>
      <c r="G85" s="180"/>
      <c r="H85" s="180"/>
      <c r="I85" s="180"/>
      <c r="J85" s="180"/>
      <c r="K85" s="180"/>
      <c r="L85" s="180"/>
    </row>
    <row r="86" spans="1:12" hidden="1" x14ac:dyDescent="0.3">
      <c r="A86" s="606" t="s">
        <v>1696</v>
      </c>
      <c r="B86" s="606" t="s">
        <v>1697</v>
      </c>
      <c r="C86" s="791">
        <v>0.69499999999999995</v>
      </c>
      <c r="D86" s="607">
        <v>2019</v>
      </c>
      <c r="E86" s="607">
        <v>2024</v>
      </c>
      <c r="G86" s="180"/>
      <c r="H86" s="180"/>
      <c r="I86" s="180"/>
      <c r="J86" s="180"/>
      <c r="K86" s="180"/>
      <c r="L86" s="180"/>
    </row>
    <row r="87" spans="1:12" hidden="1" x14ac:dyDescent="0.3">
      <c r="A87" s="606" t="s">
        <v>1829</v>
      </c>
      <c r="B87" s="606" t="s">
        <v>1830</v>
      </c>
      <c r="C87" s="791">
        <v>0.65749999999999997</v>
      </c>
      <c r="D87" s="607">
        <v>2019</v>
      </c>
      <c r="E87" s="607">
        <v>2023</v>
      </c>
      <c r="G87" s="180"/>
      <c r="H87" s="180"/>
      <c r="I87" s="180"/>
      <c r="J87" s="180"/>
      <c r="K87" s="180"/>
      <c r="L87" s="180"/>
    </row>
    <row r="88" spans="1:12" hidden="1" x14ac:dyDescent="0.3">
      <c r="A88" s="606" t="s">
        <v>1831</v>
      </c>
      <c r="B88" s="606" t="s">
        <v>1832</v>
      </c>
      <c r="C88" s="791">
        <v>0.59699999999999998</v>
      </c>
      <c r="D88" s="607">
        <v>2019</v>
      </c>
      <c r="E88" s="607">
        <v>2023</v>
      </c>
      <c r="G88" s="180"/>
      <c r="H88" s="180"/>
      <c r="I88" s="180"/>
      <c r="J88" s="180"/>
      <c r="K88" s="180"/>
      <c r="L88" s="180"/>
    </row>
    <row r="89" spans="1:12" hidden="1" x14ac:dyDescent="0.3">
      <c r="A89" s="606" t="s">
        <v>1833</v>
      </c>
      <c r="B89" s="606" t="s">
        <v>1834</v>
      </c>
      <c r="C89" s="791">
        <v>0.82499999999999996</v>
      </c>
      <c r="D89" s="607">
        <v>2019</v>
      </c>
      <c r="E89" s="607">
        <v>2027</v>
      </c>
      <c r="G89" s="180"/>
      <c r="H89" s="180"/>
      <c r="I89" s="180"/>
      <c r="J89" s="180"/>
      <c r="K89" s="180"/>
      <c r="L89" s="180"/>
    </row>
    <row r="90" spans="1:12" hidden="1" x14ac:dyDescent="0.3">
      <c r="A90" s="606" t="s">
        <v>1835</v>
      </c>
      <c r="B90" s="606" t="s">
        <v>541</v>
      </c>
      <c r="C90" s="791">
        <v>1</v>
      </c>
      <c r="D90" s="607">
        <v>2019</v>
      </c>
      <c r="E90" s="607">
        <v>2027</v>
      </c>
      <c r="G90" s="180"/>
      <c r="H90" s="180"/>
      <c r="I90" s="180"/>
      <c r="J90" s="180"/>
      <c r="K90" s="180"/>
      <c r="L90" s="180"/>
    </row>
    <row r="91" spans="1:12" x14ac:dyDescent="0.3">
      <c r="A91" s="606" t="s">
        <v>1836</v>
      </c>
      <c r="B91" s="606" t="s">
        <v>1837</v>
      </c>
      <c r="C91" s="791">
        <v>0.61</v>
      </c>
      <c r="D91" s="607">
        <v>2021</v>
      </c>
      <c r="E91" s="607">
        <v>2025</v>
      </c>
      <c r="G91" s="180"/>
      <c r="H91" s="180"/>
      <c r="I91" s="180"/>
      <c r="J91" s="180"/>
      <c r="K91" s="180"/>
      <c r="L91" s="180"/>
    </row>
    <row r="92" spans="1:12" x14ac:dyDescent="0.3">
      <c r="A92" s="606" t="s">
        <v>1838</v>
      </c>
      <c r="B92" s="606" t="s">
        <v>1839</v>
      </c>
      <c r="C92" s="791">
        <v>0.66</v>
      </c>
      <c r="D92" s="607">
        <v>2021</v>
      </c>
      <c r="E92" s="607">
        <v>2025</v>
      </c>
      <c r="G92" s="180"/>
      <c r="H92" s="180"/>
      <c r="I92" s="180"/>
      <c r="J92" s="180"/>
      <c r="K92" s="180"/>
      <c r="L92" s="180"/>
    </row>
    <row r="93" spans="1:12" x14ac:dyDescent="0.3">
      <c r="A93" s="606" t="s">
        <v>1840</v>
      </c>
      <c r="B93" s="606" t="s">
        <v>1841</v>
      </c>
      <c r="C93" s="791">
        <v>0.55200000000000005</v>
      </c>
      <c r="D93" s="607">
        <v>2021</v>
      </c>
      <c r="E93" s="607">
        <v>2025</v>
      </c>
      <c r="G93" s="180"/>
      <c r="H93" s="180"/>
      <c r="I93" s="180"/>
      <c r="J93" s="180"/>
      <c r="K93" s="180"/>
      <c r="L93" s="180"/>
    </row>
    <row r="94" spans="1:12" hidden="1" x14ac:dyDescent="0.3">
      <c r="A94" s="606" t="s">
        <v>1842</v>
      </c>
      <c r="B94" s="606" t="s">
        <v>1843</v>
      </c>
      <c r="C94" s="791">
        <v>0.36</v>
      </c>
      <c r="D94" s="607">
        <v>2021</v>
      </c>
      <c r="E94" s="607">
        <v>2029</v>
      </c>
      <c r="G94" s="180"/>
      <c r="H94" s="180"/>
      <c r="I94" s="180"/>
      <c r="J94" s="180"/>
      <c r="K94" s="180"/>
      <c r="L94" s="180"/>
    </row>
    <row r="95" spans="1:12" x14ac:dyDescent="0.3">
      <c r="A95" s="606" t="s">
        <v>1844</v>
      </c>
      <c r="B95" s="606" t="s">
        <v>1845</v>
      </c>
      <c r="C95" s="791">
        <v>0.60329999999999995</v>
      </c>
      <c r="D95" s="607">
        <v>2021</v>
      </c>
      <c r="E95" s="607">
        <v>2025</v>
      </c>
      <c r="G95" s="180"/>
      <c r="H95" s="180"/>
      <c r="I95" s="180"/>
      <c r="J95" s="180"/>
      <c r="K95" s="180"/>
      <c r="L95" s="180"/>
    </row>
    <row r="96" spans="1:12" x14ac:dyDescent="0.3">
      <c r="A96" s="606" t="s">
        <v>1846</v>
      </c>
      <c r="B96" s="606" t="s">
        <v>550</v>
      </c>
      <c r="C96" s="791">
        <v>0.95</v>
      </c>
      <c r="D96" s="607">
        <v>2017</v>
      </c>
      <c r="E96" s="607">
        <v>2025</v>
      </c>
      <c r="G96" s="180"/>
      <c r="H96" s="180"/>
      <c r="I96" s="180"/>
      <c r="J96" s="180"/>
      <c r="K96" s="180"/>
      <c r="L96" s="180"/>
    </row>
    <row r="97" spans="1:12" x14ac:dyDescent="0.3">
      <c r="A97" s="606" t="s">
        <v>1847</v>
      </c>
      <c r="B97" s="606" t="s">
        <v>1848</v>
      </c>
      <c r="C97" s="791">
        <v>0.58799999999999997</v>
      </c>
      <c r="D97" s="607">
        <v>2021</v>
      </c>
      <c r="E97" s="607">
        <v>2025</v>
      </c>
      <c r="G97" s="180"/>
      <c r="H97" s="180"/>
      <c r="I97" s="180"/>
      <c r="J97" s="180"/>
      <c r="K97" s="180"/>
      <c r="L97" s="180"/>
    </row>
    <row r="98" spans="1:12" hidden="1" x14ac:dyDescent="0.3">
      <c r="A98" s="606" t="s">
        <v>1698</v>
      </c>
      <c r="B98" s="606" t="s">
        <v>1699</v>
      </c>
      <c r="C98" s="791">
        <v>0.89</v>
      </c>
      <c r="D98" s="607">
        <v>2016</v>
      </c>
      <c r="E98" s="607">
        <v>2024</v>
      </c>
    </row>
    <row r="99" spans="1:12" hidden="1" x14ac:dyDescent="0.3">
      <c r="A99" s="606" t="s">
        <v>1700</v>
      </c>
      <c r="B99" s="606" t="s">
        <v>1701</v>
      </c>
      <c r="C99" s="791">
        <v>0.6</v>
      </c>
      <c r="D99" s="607">
        <v>2020</v>
      </c>
      <c r="E99" s="607">
        <v>2024</v>
      </c>
    </row>
    <row r="100" spans="1:12" x14ac:dyDescent="0.3">
      <c r="A100" s="606" t="s">
        <v>1849</v>
      </c>
      <c r="B100" s="606" t="s">
        <v>1850</v>
      </c>
      <c r="C100" s="791">
        <v>0.81</v>
      </c>
      <c r="D100" s="607">
        <v>2017</v>
      </c>
      <c r="E100" s="607">
        <v>2025</v>
      </c>
    </row>
    <row r="101" spans="1:12" hidden="1" x14ac:dyDescent="0.3">
      <c r="A101" s="606" t="s">
        <v>1851</v>
      </c>
      <c r="B101" s="606" t="s">
        <v>1852</v>
      </c>
      <c r="C101" s="791">
        <v>0.85</v>
      </c>
      <c r="D101" s="607">
        <v>2021</v>
      </c>
      <c r="E101" s="607">
        <v>2029</v>
      </c>
    </row>
    <row r="102" spans="1:12" hidden="1" x14ac:dyDescent="0.3">
      <c r="A102" s="606" t="s">
        <v>1853</v>
      </c>
      <c r="B102" s="606" t="s">
        <v>1854</v>
      </c>
      <c r="C102" s="791">
        <v>0.40300000000000002</v>
      </c>
      <c r="D102" s="607">
        <v>2014</v>
      </c>
      <c r="E102" s="607">
        <v>2022</v>
      </c>
    </row>
    <row r="103" spans="1:12" hidden="1" x14ac:dyDescent="0.3">
      <c r="A103" s="606" t="s">
        <v>1855</v>
      </c>
      <c r="B103" s="606" t="s">
        <v>1856</v>
      </c>
      <c r="C103" s="791">
        <v>0.70750000000000002</v>
      </c>
      <c r="D103" s="607">
        <v>2019</v>
      </c>
      <c r="E103" s="607">
        <v>2027</v>
      </c>
    </row>
    <row r="104" spans="1:12" hidden="1" x14ac:dyDescent="0.3">
      <c r="A104" s="606" t="s">
        <v>1857</v>
      </c>
      <c r="B104" s="606" t="s">
        <v>1858</v>
      </c>
      <c r="C104" s="791">
        <v>0.66</v>
      </c>
      <c r="D104" s="607">
        <v>2019</v>
      </c>
      <c r="E104" s="607">
        <v>2023</v>
      </c>
    </row>
    <row r="105" spans="1:12" hidden="1" x14ac:dyDescent="0.3">
      <c r="A105" s="606" t="s">
        <v>1702</v>
      </c>
      <c r="B105" s="606" t="s">
        <v>1703</v>
      </c>
      <c r="C105" s="791">
        <v>0.73</v>
      </c>
      <c r="D105" s="607">
        <v>2016</v>
      </c>
      <c r="E105" s="607">
        <v>2024</v>
      </c>
    </row>
    <row r="106" spans="1:12" hidden="1" x14ac:dyDescent="0.3">
      <c r="A106" s="606" t="s">
        <v>1859</v>
      </c>
      <c r="B106" s="606" t="s">
        <v>1860</v>
      </c>
      <c r="C106" s="791">
        <v>0.66</v>
      </c>
      <c r="D106" s="607">
        <v>2017</v>
      </c>
      <c r="E106" s="607">
        <v>2023</v>
      </c>
    </row>
    <row r="107" spans="1:12" hidden="1" x14ac:dyDescent="0.3">
      <c r="A107" s="606" t="s">
        <v>1861</v>
      </c>
      <c r="B107" s="606" t="s">
        <v>1862</v>
      </c>
      <c r="C107" s="791">
        <v>0.6</v>
      </c>
      <c r="D107" s="607">
        <v>2016</v>
      </c>
      <c r="E107" s="607">
        <v>2024</v>
      </c>
    </row>
    <row r="109" spans="1:12" x14ac:dyDescent="0.3">
      <c r="C109" s="791">
        <f>SUM(C8:C108)</f>
        <v>67.168499999999995</v>
      </c>
    </row>
    <row r="113" spans="1:4" x14ac:dyDescent="0.3">
      <c r="A113" s="606" t="s">
        <v>1968</v>
      </c>
    </row>
    <row r="114" spans="1:4" x14ac:dyDescent="0.3">
      <c r="A114" s="606" t="s">
        <v>1970</v>
      </c>
    </row>
    <row r="115" spans="1:4" x14ac:dyDescent="0.3">
      <c r="A115" s="606" t="s">
        <v>605</v>
      </c>
    </row>
    <row r="117" spans="1:4" x14ac:dyDescent="0.3">
      <c r="C117" s="791" t="s">
        <v>606</v>
      </c>
      <c r="D117" s="607" t="s">
        <v>607</v>
      </c>
    </row>
    <row r="118" spans="1:4" x14ac:dyDescent="0.3">
      <c r="B118" s="606" t="s">
        <v>608</v>
      </c>
      <c r="C118" s="791" t="s">
        <v>609</v>
      </c>
      <c r="D118" s="607" t="s">
        <v>610</v>
      </c>
    </row>
    <row r="119" spans="1:4" x14ac:dyDescent="0.3">
      <c r="A119" s="606" t="s">
        <v>611</v>
      </c>
      <c r="B119" s="606" t="s">
        <v>612</v>
      </c>
      <c r="C119" s="791" t="s">
        <v>1969</v>
      </c>
      <c r="D119" s="607" t="s">
        <v>1969</v>
      </c>
    </row>
    <row r="120" spans="1:4" x14ac:dyDescent="0.3">
      <c r="A120" s="606" t="s">
        <v>1715</v>
      </c>
      <c r="B120" s="606">
        <v>0.625</v>
      </c>
      <c r="C120" s="1038">
        <v>2018</v>
      </c>
      <c r="D120" s="607">
        <v>2025</v>
      </c>
    </row>
    <row r="121" spans="1:4" x14ac:dyDescent="0.3">
      <c r="A121" s="606" t="s">
        <v>1722</v>
      </c>
      <c r="B121" s="606">
        <v>0.51759999999999995</v>
      </c>
      <c r="C121" s="1038">
        <v>2021</v>
      </c>
      <c r="D121" s="607">
        <v>2025</v>
      </c>
    </row>
    <row r="122" spans="1:4" x14ac:dyDescent="0.3">
      <c r="A122" s="606" t="s">
        <v>1726</v>
      </c>
      <c r="B122" s="606">
        <v>0.63</v>
      </c>
      <c r="C122" s="1038">
        <v>2021</v>
      </c>
      <c r="D122" s="607">
        <v>2025</v>
      </c>
    </row>
    <row r="123" spans="1:4" x14ac:dyDescent="0.3">
      <c r="A123" s="606" t="s">
        <v>1677</v>
      </c>
      <c r="B123" s="606">
        <v>0.34</v>
      </c>
      <c r="C123" s="1038">
        <v>2020</v>
      </c>
      <c r="D123" s="607">
        <v>2025</v>
      </c>
    </row>
    <row r="124" spans="1:4" x14ac:dyDescent="0.3">
      <c r="A124" s="606" t="s">
        <v>1733</v>
      </c>
      <c r="B124" s="606">
        <v>0.72499999999999998</v>
      </c>
      <c r="C124" s="1038">
        <v>2021</v>
      </c>
      <c r="D124" s="607">
        <v>2025</v>
      </c>
    </row>
    <row r="125" spans="1:4" x14ac:dyDescent="0.3">
      <c r="A125" s="606" t="s">
        <v>1740</v>
      </c>
      <c r="B125" s="606">
        <v>0.6875</v>
      </c>
      <c r="C125" s="1038">
        <v>2021</v>
      </c>
      <c r="D125" s="607">
        <v>2025</v>
      </c>
    </row>
    <row r="126" spans="1:4" x14ac:dyDescent="0.3">
      <c r="A126" s="606" t="s">
        <v>1745</v>
      </c>
      <c r="B126" s="606">
        <v>0.79900000000000004</v>
      </c>
      <c r="C126" s="1038">
        <v>2017</v>
      </c>
      <c r="D126" s="607">
        <v>2025</v>
      </c>
    </row>
    <row r="127" spans="1:4" x14ac:dyDescent="0.3">
      <c r="A127" s="606" t="s">
        <v>1749</v>
      </c>
      <c r="B127" s="606">
        <v>0.40050000000000002</v>
      </c>
      <c r="C127" s="1038">
        <v>2020</v>
      </c>
      <c r="D127" s="607">
        <v>2025</v>
      </c>
    </row>
    <row r="128" spans="1:4" x14ac:dyDescent="0.3">
      <c r="A128" s="606" t="s">
        <v>1753</v>
      </c>
      <c r="B128" s="606">
        <v>0.73299999999999998</v>
      </c>
      <c r="C128" s="1038">
        <v>2021</v>
      </c>
      <c r="D128" s="607">
        <v>2025</v>
      </c>
    </row>
    <row r="129" spans="1:4" x14ac:dyDescent="0.3">
      <c r="A129" s="606" t="s">
        <v>1755</v>
      </c>
      <c r="B129" s="606">
        <v>0.73499999999999999</v>
      </c>
      <c r="C129" s="1038">
        <v>2017</v>
      </c>
      <c r="D129" s="607">
        <v>2025</v>
      </c>
    </row>
    <row r="130" spans="1:4" x14ac:dyDescent="0.3">
      <c r="A130" s="606" t="s">
        <v>1757</v>
      </c>
      <c r="B130" s="606">
        <v>0.79869999999999997</v>
      </c>
      <c r="C130" s="1038">
        <v>2019</v>
      </c>
      <c r="D130" s="607">
        <v>2025</v>
      </c>
    </row>
    <row r="131" spans="1:4" x14ac:dyDescent="0.3">
      <c r="A131" s="606" t="s">
        <v>1759</v>
      </c>
      <c r="B131" s="606">
        <v>0.67779999999999996</v>
      </c>
      <c r="C131" s="1038">
        <v>2021</v>
      </c>
      <c r="D131" s="607">
        <v>2025</v>
      </c>
    </row>
    <row r="132" spans="1:4" x14ac:dyDescent="0.3">
      <c r="A132" s="606" t="s">
        <v>1763</v>
      </c>
      <c r="B132" s="606">
        <v>0.84</v>
      </c>
      <c r="C132" s="1038">
        <v>2017</v>
      </c>
      <c r="D132" s="607">
        <v>2025</v>
      </c>
    </row>
    <row r="133" spans="1:4" x14ac:dyDescent="0.3">
      <c r="A133" s="606" t="s">
        <v>1773</v>
      </c>
      <c r="B133" s="606">
        <v>0.55000000000000004</v>
      </c>
      <c r="C133" s="1038">
        <v>2021</v>
      </c>
      <c r="D133" s="607">
        <v>2025</v>
      </c>
    </row>
    <row r="134" spans="1:4" x14ac:dyDescent="0.3">
      <c r="A134" s="606" t="s">
        <v>1784</v>
      </c>
      <c r="B134" s="606">
        <v>0.38</v>
      </c>
      <c r="C134" s="1038">
        <v>2021</v>
      </c>
      <c r="D134" s="607">
        <v>2025</v>
      </c>
    </row>
    <row r="135" spans="1:4" x14ac:dyDescent="0.3">
      <c r="A135" s="606" t="s">
        <v>1786</v>
      </c>
      <c r="B135" s="606">
        <v>0.67</v>
      </c>
      <c r="C135" s="1038">
        <v>2019</v>
      </c>
      <c r="D135" s="607">
        <v>2025</v>
      </c>
    </row>
    <row r="136" spans="1:4" x14ac:dyDescent="0.3">
      <c r="A136" s="606" t="s">
        <v>1792</v>
      </c>
      <c r="B136" s="606">
        <v>0.84499999999999997</v>
      </c>
      <c r="C136" s="1038">
        <v>2017</v>
      </c>
      <c r="D136" s="607">
        <v>2025</v>
      </c>
    </row>
    <row r="137" spans="1:4" x14ac:dyDescent="0.3">
      <c r="A137" s="606" t="s">
        <v>1800</v>
      </c>
      <c r="B137" s="606">
        <v>0.81</v>
      </c>
      <c r="C137" s="1038">
        <v>2017</v>
      </c>
      <c r="D137" s="607">
        <v>2025</v>
      </c>
    </row>
    <row r="138" spans="1:4" x14ac:dyDescent="0.3">
      <c r="A138" s="606" t="s">
        <v>1811</v>
      </c>
      <c r="B138" s="606">
        <v>0.45</v>
      </c>
      <c r="C138" s="1038">
        <v>2021</v>
      </c>
      <c r="D138" s="607">
        <v>2025</v>
      </c>
    </row>
    <row r="139" spans="1:4" x14ac:dyDescent="0.3">
      <c r="A139" s="606" t="s">
        <v>1816</v>
      </c>
      <c r="B139" s="606">
        <v>0.8629</v>
      </c>
      <c r="C139" s="1038">
        <v>2021</v>
      </c>
      <c r="D139" s="607">
        <v>2025</v>
      </c>
    </row>
    <row r="140" spans="1:4" x14ac:dyDescent="0.3">
      <c r="A140" s="606" t="s">
        <v>1823</v>
      </c>
      <c r="B140" s="606">
        <v>0.72250000000000003</v>
      </c>
      <c r="C140" s="1038">
        <v>2021</v>
      </c>
      <c r="D140" s="607">
        <v>2025</v>
      </c>
    </row>
    <row r="141" spans="1:4" x14ac:dyDescent="0.3">
      <c r="A141" s="606" t="s">
        <v>1825</v>
      </c>
      <c r="B141" s="606">
        <v>0.5343</v>
      </c>
      <c r="C141" s="1038">
        <v>2021</v>
      </c>
      <c r="D141" s="607">
        <v>2025</v>
      </c>
    </row>
    <row r="142" spans="1:4" x14ac:dyDescent="0.3">
      <c r="A142" s="606" t="s">
        <v>1836</v>
      </c>
      <c r="B142" s="606">
        <v>0.61</v>
      </c>
      <c r="C142" s="1038">
        <v>2021</v>
      </c>
      <c r="D142" s="607">
        <v>2025</v>
      </c>
    </row>
    <row r="143" spans="1:4" x14ac:dyDescent="0.3">
      <c r="A143" s="606" t="s">
        <v>1838</v>
      </c>
      <c r="B143" s="606">
        <v>0.71</v>
      </c>
      <c r="C143" s="1038">
        <v>2021</v>
      </c>
      <c r="D143" s="607">
        <v>2025</v>
      </c>
    </row>
    <row r="144" spans="1:4" x14ac:dyDescent="0.3">
      <c r="A144" s="606" t="s">
        <v>1840</v>
      </c>
      <c r="B144" s="606">
        <v>0.55200000000000005</v>
      </c>
      <c r="C144" s="1038">
        <v>2021</v>
      </c>
      <c r="D144" s="607">
        <v>2025</v>
      </c>
    </row>
    <row r="145" spans="1:4" x14ac:dyDescent="0.3">
      <c r="A145" s="606" t="s">
        <v>1844</v>
      </c>
      <c r="B145" s="606">
        <v>0.60329999999999995</v>
      </c>
      <c r="C145" s="1038">
        <v>2021</v>
      </c>
      <c r="D145" s="607">
        <v>2025</v>
      </c>
    </row>
    <row r="146" spans="1:4" x14ac:dyDescent="0.3">
      <c r="A146" s="606" t="s">
        <v>1846</v>
      </c>
      <c r="B146" s="606">
        <v>0.95</v>
      </c>
      <c r="C146" s="1038">
        <v>2017</v>
      </c>
      <c r="D146" s="607">
        <v>2025</v>
      </c>
    </row>
    <row r="147" spans="1:4" x14ac:dyDescent="0.3">
      <c r="A147" s="606" t="s">
        <v>1847</v>
      </c>
      <c r="B147" s="606">
        <v>0.58799999999999997</v>
      </c>
      <c r="C147" s="1038">
        <v>2021</v>
      </c>
      <c r="D147" s="607">
        <v>2025</v>
      </c>
    </row>
    <row r="148" spans="1:4" x14ac:dyDescent="0.3">
      <c r="A148" s="606" t="s">
        <v>1849</v>
      </c>
      <c r="B148" s="606">
        <v>0.81</v>
      </c>
      <c r="C148" s="1038">
        <v>2017</v>
      </c>
      <c r="D148" s="607">
        <v>2025</v>
      </c>
    </row>
    <row r="149" spans="1:4" x14ac:dyDescent="0.3">
      <c r="A149" s="606" t="s">
        <v>1855</v>
      </c>
      <c r="B149" s="606">
        <v>0.76749999999999996</v>
      </c>
      <c r="C149" s="1038">
        <v>2019</v>
      </c>
      <c r="D149" s="607">
        <v>2025</v>
      </c>
    </row>
    <row r="150" spans="1:4" x14ac:dyDescent="0.3">
      <c r="A150" s="606" t="s">
        <v>1857</v>
      </c>
      <c r="B150" s="606">
        <v>0.66</v>
      </c>
      <c r="C150" s="1038">
        <v>2019</v>
      </c>
      <c r="D150" s="607">
        <v>2025</v>
      </c>
    </row>
  </sheetData>
  <sheetProtection algorithmName="SHA-512" hashValue="fgKPUUAOchgb39nd76BHFh2ziikiOIVsPaiDAxA5RIzx3z/UCX9l2d3ywmrRRqH5uz14xHcxDhRqR1WhR8xQTg==" saltValue="hl2DBt3v3Ta4K0jJLAM0JA==" spinCount="100000" sheet="1" objects="1" scenarios="1"/>
  <autoFilter ref="A7:E107" xr:uid="{C4C859C7-D101-4FF8-B13C-F4FADB068718}">
    <filterColumn colId="4">
      <filters>
        <filter val="2025"/>
      </filters>
    </filterColumn>
  </autoFilter>
  <sortState xmlns:xlrd2="http://schemas.microsoft.com/office/spreadsheetml/2017/richdata2" ref="A7:D106">
    <sortCondition ref="D7:D10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sheetPr codeName="Sheet17"/>
  <dimension ref="A1:CZ456"/>
  <sheetViews>
    <sheetView workbookViewId="0">
      <pane xSplit="3" ySplit="2" topLeftCell="D207" activePane="bottomRight" state="frozen"/>
      <selection activeCell="B197" sqref="B197"/>
      <selection pane="topRight" activeCell="B197" sqref="B197"/>
      <selection pane="bottomLeft" activeCell="B197" sqref="B197"/>
      <selection pane="bottomRight" activeCell="CE230" sqref="CE230"/>
    </sheetView>
  </sheetViews>
  <sheetFormatPr defaultRowHeight="14.4" x14ac:dyDescent="0.3"/>
  <cols>
    <col min="1" max="1" width="12.6640625" style="155" customWidth="1"/>
    <col min="2" max="2" width="49.44140625" customWidth="1"/>
    <col min="3" max="3" width="39.44140625" customWidth="1"/>
    <col min="4" max="97" width="20.6640625" customWidth="1"/>
    <col min="98" max="104" width="16.109375" customWidth="1"/>
  </cols>
  <sheetData>
    <row r="1" spans="1:99" x14ac:dyDescent="0.3">
      <c r="A1" t="s">
        <v>349</v>
      </c>
      <c r="B1" t="s">
        <v>349</v>
      </c>
      <c r="C1" t="s">
        <v>349</v>
      </c>
      <c r="D1" t="s">
        <v>499</v>
      </c>
      <c r="E1" t="s">
        <v>500</v>
      </c>
      <c r="F1" t="s">
        <v>1193</v>
      </c>
      <c r="G1" t="s">
        <v>1194</v>
      </c>
      <c r="H1" t="s">
        <v>1195</v>
      </c>
      <c r="I1" t="s">
        <v>1196</v>
      </c>
      <c r="J1" t="s">
        <v>1197</v>
      </c>
      <c r="K1" t="s">
        <v>1198</v>
      </c>
      <c r="L1" t="s">
        <v>1199</v>
      </c>
      <c r="M1" t="s">
        <v>1200</v>
      </c>
      <c r="N1" t="s">
        <v>1201</v>
      </c>
      <c r="O1" t="s">
        <v>1202</v>
      </c>
      <c r="P1" t="s">
        <v>501</v>
      </c>
      <c r="Q1" t="s">
        <v>1203</v>
      </c>
      <c r="R1" t="s">
        <v>1204</v>
      </c>
      <c r="S1" t="s">
        <v>1205</v>
      </c>
      <c r="T1" t="s">
        <v>502</v>
      </c>
      <c r="U1" t="s">
        <v>1206</v>
      </c>
      <c r="V1" t="s">
        <v>1207</v>
      </c>
      <c r="W1" t="s">
        <v>1208</v>
      </c>
      <c r="X1" t="s">
        <v>503</v>
      </c>
      <c r="Y1" t="s">
        <v>504</v>
      </c>
      <c r="Z1" t="s">
        <v>1209</v>
      </c>
      <c r="AA1" t="s">
        <v>1210</v>
      </c>
      <c r="AB1" t="s">
        <v>1211</v>
      </c>
      <c r="AC1" t="s">
        <v>1212</v>
      </c>
      <c r="AD1" t="s">
        <v>1213</v>
      </c>
      <c r="AE1" t="s">
        <v>388</v>
      </c>
      <c r="AF1" t="s">
        <v>1214</v>
      </c>
      <c r="AG1" t="s">
        <v>1215</v>
      </c>
      <c r="AH1" t="s">
        <v>815</v>
      </c>
      <c r="AI1" t="s">
        <v>1216</v>
      </c>
      <c r="AJ1" t="s">
        <v>505</v>
      </c>
      <c r="AK1" t="s">
        <v>1217</v>
      </c>
      <c r="AL1" t="s">
        <v>506</v>
      </c>
      <c r="AM1" t="s">
        <v>1218</v>
      </c>
      <c r="AN1" t="s">
        <v>1055</v>
      </c>
      <c r="AO1" t="s">
        <v>1219</v>
      </c>
      <c r="AP1" t="s">
        <v>1220</v>
      </c>
      <c r="AQ1" t="s">
        <v>1221</v>
      </c>
      <c r="AR1" t="s">
        <v>1222</v>
      </c>
      <c r="AS1" t="s">
        <v>816</v>
      </c>
      <c r="AT1" t="s">
        <v>507</v>
      </c>
      <c r="AU1" t="s">
        <v>394</v>
      </c>
      <c r="AV1" t="s">
        <v>395</v>
      </c>
      <c r="AW1" t="s">
        <v>1223</v>
      </c>
      <c r="AX1" t="s">
        <v>1224</v>
      </c>
      <c r="AY1" t="s">
        <v>508</v>
      </c>
      <c r="AZ1" t="s">
        <v>509</v>
      </c>
      <c r="BA1" t="s">
        <v>510</v>
      </c>
      <c r="BB1" t="s">
        <v>511</v>
      </c>
      <c r="BC1" t="s">
        <v>1225</v>
      </c>
      <c r="BD1" t="s">
        <v>1226</v>
      </c>
      <c r="BE1" t="s">
        <v>1227</v>
      </c>
      <c r="BF1" t="s">
        <v>1228</v>
      </c>
      <c r="BG1" t="s">
        <v>817</v>
      </c>
      <c r="BH1" t="s">
        <v>1229</v>
      </c>
      <c r="BI1" t="s">
        <v>818</v>
      </c>
      <c r="BJ1" t="s">
        <v>1230</v>
      </c>
      <c r="BK1" t="s">
        <v>1231</v>
      </c>
      <c r="BL1" t="s">
        <v>389</v>
      </c>
      <c r="BM1" t="s">
        <v>1232</v>
      </c>
      <c r="BN1" t="s">
        <v>819</v>
      </c>
      <c r="BO1" t="s">
        <v>1233</v>
      </c>
      <c r="BP1" t="s">
        <v>396</v>
      </c>
      <c r="BQ1" t="s">
        <v>1234</v>
      </c>
      <c r="BR1" t="s">
        <v>1235</v>
      </c>
      <c r="BS1" s="180" t="s">
        <v>1236</v>
      </c>
      <c r="BT1" s="180" t="s">
        <v>1237</v>
      </c>
      <c r="BU1" s="180" t="s">
        <v>1238</v>
      </c>
      <c r="BV1" s="180" t="s">
        <v>512</v>
      </c>
      <c r="BW1" s="180" t="s">
        <v>1239</v>
      </c>
      <c r="BX1" s="180" t="s">
        <v>513</v>
      </c>
      <c r="BY1" s="180" t="s">
        <v>1240</v>
      </c>
      <c r="BZ1" s="180" t="s">
        <v>514</v>
      </c>
      <c r="CA1" s="180" t="s">
        <v>1241</v>
      </c>
      <c r="CB1" s="180" t="s">
        <v>1242</v>
      </c>
      <c r="CC1" s="180" t="s">
        <v>1056</v>
      </c>
      <c r="CD1" s="180" t="s">
        <v>1243</v>
      </c>
      <c r="CE1" s="180"/>
      <c r="CF1" s="180"/>
      <c r="CG1" s="180"/>
      <c r="CH1" s="180"/>
      <c r="CI1" s="180"/>
      <c r="CJ1" s="180"/>
      <c r="CK1" s="180"/>
      <c r="CL1" s="180"/>
      <c r="CM1" s="180"/>
      <c r="CN1" s="180"/>
      <c r="CO1" s="180"/>
      <c r="CP1" s="180"/>
      <c r="CQ1" s="180"/>
      <c r="CR1" s="180"/>
      <c r="CS1" s="180"/>
      <c r="CT1" s="180"/>
      <c r="CU1" s="180"/>
    </row>
    <row r="2" spans="1:99" x14ac:dyDescent="0.3">
      <c r="A2" t="s">
        <v>877</v>
      </c>
      <c r="B2" t="s">
        <v>41</v>
      </c>
      <c r="C2" t="s">
        <v>13</v>
      </c>
      <c r="D2" s="786">
        <v>50129</v>
      </c>
      <c r="E2" s="786">
        <v>50130</v>
      </c>
      <c r="F2" s="786">
        <v>50560</v>
      </c>
      <c r="G2" s="786">
        <v>50131</v>
      </c>
      <c r="H2" s="786">
        <v>50132</v>
      </c>
      <c r="I2" s="786">
        <v>50133</v>
      </c>
      <c r="J2" s="786">
        <v>50134</v>
      </c>
      <c r="K2" s="786">
        <v>50473</v>
      </c>
      <c r="L2" s="786">
        <v>50135</v>
      </c>
      <c r="M2" s="786">
        <v>50136</v>
      </c>
      <c r="N2" s="786">
        <v>50514</v>
      </c>
      <c r="O2" s="786">
        <v>50515</v>
      </c>
      <c r="P2" s="786">
        <v>50570</v>
      </c>
      <c r="Q2" s="786">
        <v>50137</v>
      </c>
      <c r="R2" s="786">
        <v>50549</v>
      </c>
      <c r="S2" s="786">
        <v>50138</v>
      </c>
      <c r="T2" s="786">
        <v>50139</v>
      </c>
      <c r="U2" s="786">
        <v>50474</v>
      </c>
      <c r="V2" s="786">
        <v>50140</v>
      </c>
      <c r="W2" s="786">
        <v>50141</v>
      </c>
      <c r="X2" s="786">
        <v>50142</v>
      </c>
      <c r="Y2" s="786">
        <v>50143</v>
      </c>
      <c r="Z2" s="786">
        <v>50144</v>
      </c>
      <c r="AA2" s="786">
        <v>50492</v>
      </c>
      <c r="AB2" s="786">
        <v>50145</v>
      </c>
      <c r="AC2" s="786">
        <v>50146</v>
      </c>
      <c r="AD2" s="786">
        <v>50147</v>
      </c>
      <c r="AE2" s="786">
        <v>50148</v>
      </c>
      <c r="AF2" s="786">
        <v>50149</v>
      </c>
      <c r="AG2" s="786">
        <v>50150</v>
      </c>
      <c r="AH2" s="786">
        <v>50151</v>
      </c>
      <c r="AI2" s="786">
        <v>50152</v>
      </c>
      <c r="AJ2" s="786">
        <v>50153</v>
      </c>
      <c r="AK2" s="786">
        <v>50475</v>
      </c>
      <c r="AL2" s="786">
        <v>50154</v>
      </c>
      <c r="AM2" s="786">
        <v>50155</v>
      </c>
      <c r="AN2" s="786">
        <v>50156</v>
      </c>
      <c r="AO2" s="786">
        <v>50516</v>
      </c>
      <c r="AP2" s="786">
        <v>50157</v>
      </c>
      <c r="AQ2" s="786">
        <v>50158</v>
      </c>
      <c r="AR2" s="786">
        <v>50545</v>
      </c>
      <c r="AS2" s="786">
        <v>50517</v>
      </c>
      <c r="AT2" s="786">
        <v>50448</v>
      </c>
      <c r="AU2" s="786">
        <v>50159</v>
      </c>
      <c r="AV2" s="786">
        <v>50160</v>
      </c>
      <c r="AW2" s="786">
        <v>50161</v>
      </c>
      <c r="AX2" s="786">
        <v>50162</v>
      </c>
      <c r="AY2" s="786">
        <v>50163</v>
      </c>
      <c r="AZ2" s="786">
        <v>50165</v>
      </c>
      <c r="BA2" s="786">
        <v>50166</v>
      </c>
      <c r="BB2" s="786">
        <v>50167</v>
      </c>
      <c r="BC2" s="786">
        <v>50168</v>
      </c>
      <c r="BD2" s="786">
        <v>50169</v>
      </c>
      <c r="BE2" s="786">
        <v>50170</v>
      </c>
      <c r="BF2" s="786">
        <v>50451</v>
      </c>
      <c r="BG2" s="786">
        <v>50171</v>
      </c>
      <c r="BH2" s="786">
        <v>50172</v>
      </c>
      <c r="BI2" s="786">
        <v>50440</v>
      </c>
      <c r="BJ2" s="786">
        <v>50173</v>
      </c>
      <c r="BK2" s="786">
        <v>50547</v>
      </c>
      <c r="BL2" s="786">
        <v>50175</v>
      </c>
      <c r="BM2" s="786">
        <v>50176</v>
      </c>
      <c r="BN2" s="786">
        <v>50177</v>
      </c>
      <c r="BO2" s="786">
        <v>50178</v>
      </c>
      <c r="BP2" s="786">
        <v>50180</v>
      </c>
      <c r="BQ2" s="786">
        <v>50447</v>
      </c>
      <c r="BR2" s="786">
        <v>50179</v>
      </c>
      <c r="BS2" s="786">
        <v>50462</v>
      </c>
      <c r="BT2" s="786">
        <v>50181</v>
      </c>
      <c r="BU2" s="786">
        <v>50182</v>
      </c>
      <c r="BV2" s="786">
        <v>50183</v>
      </c>
      <c r="BW2" s="786">
        <v>50446</v>
      </c>
      <c r="BX2" s="786">
        <v>50184</v>
      </c>
      <c r="BY2" s="786">
        <v>50185</v>
      </c>
      <c r="BZ2" s="786">
        <v>50186</v>
      </c>
      <c r="CA2" s="786">
        <v>50187</v>
      </c>
      <c r="CB2" s="786">
        <v>50188</v>
      </c>
      <c r="CC2" s="786">
        <v>50189</v>
      </c>
      <c r="CD2" s="786">
        <v>50190</v>
      </c>
      <c r="CE2" s="180"/>
      <c r="CF2" s="180"/>
      <c r="CG2" s="180"/>
      <c r="CH2" s="180"/>
      <c r="CI2" s="180"/>
      <c r="CJ2" s="180"/>
      <c r="CK2" s="180"/>
      <c r="CL2" s="180"/>
      <c r="CM2" s="180"/>
      <c r="CN2" s="180"/>
      <c r="CO2" s="180"/>
      <c r="CP2" s="180"/>
      <c r="CQ2" s="180"/>
      <c r="CR2" s="180"/>
      <c r="CS2" s="180"/>
      <c r="CT2" s="180"/>
      <c r="CU2" s="180"/>
    </row>
    <row r="3" spans="1:99" x14ac:dyDescent="0.3">
      <c r="A3">
        <v>4</v>
      </c>
      <c r="B3" t="s">
        <v>111</v>
      </c>
      <c r="E3">
        <v>48781</v>
      </c>
      <c r="F3">
        <v>30378</v>
      </c>
      <c r="G3">
        <v>49709</v>
      </c>
      <c r="H3">
        <v>130716</v>
      </c>
      <c r="I3">
        <v>3569</v>
      </c>
      <c r="J3">
        <v>1128</v>
      </c>
      <c r="K3">
        <v>148</v>
      </c>
      <c r="L3">
        <v>293966</v>
      </c>
      <c r="M3">
        <v>12890010</v>
      </c>
      <c r="N3">
        <v>41269</v>
      </c>
      <c r="O3">
        <v>107851</v>
      </c>
      <c r="P3">
        <v>11220</v>
      </c>
      <c r="Q3">
        <v>6517371</v>
      </c>
      <c r="R3">
        <v>58317</v>
      </c>
      <c r="S3">
        <v>10665</v>
      </c>
      <c r="T3">
        <v>77483</v>
      </c>
      <c r="U3">
        <v>34031</v>
      </c>
      <c r="V3">
        <v>376583</v>
      </c>
      <c r="W3">
        <v>50097</v>
      </c>
      <c r="X3">
        <v>0</v>
      </c>
      <c r="Y3">
        <v>15731</v>
      </c>
      <c r="Z3">
        <v>2189979</v>
      </c>
      <c r="AA3">
        <v>2766</v>
      </c>
      <c r="AB3">
        <v>14615</v>
      </c>
      <c r="AC3">
        <v>2052770</v>
      </c>
      <c r="AD3">
        <v>62579</v>
      </c>
      <c r="AF3">
        <v>7072545</v>
      </c>
      <c r="AG3">
        <v>31265</v>
      </c>
      <c r="AH3">
        <v>2770</v>
      </c>
      <c r="AI3">
        <v>358460</v>
      </c>
      <c r="AJ3">
        <v>42971</v>
      </c>
      <c r="AK3">
        <v>491</v>
      </c>
      <c r="AL3">
        <v>2099430</v>
      </c>
      <c r="AM3">
        <v>3917</v>
      </c>
      <c r="AN3">
        <v>900801</v>
      </c>
      <c r="AO3">
        <v>9518</v>
      </c>
      <c r="AP3">
        <v>129791</v>
      </c>
      <c r="AQ3">
        <v>6246</v>
      </c>
      <c r="AR3">
        <v>711</v>
      </c>
      <c r="AS3">
        <v>224079</v>
      </c>
      <c r="AT3">
        <v>35931</v>
      </c>
      <c r="AU3">
        <v>16850555</v>
      </c>
      <c r="AV3">
        <v>4885513</v>
      </c>
      <c r="AW3">
        <v>43610</v>
      </c>
      <c r="AX3">
        <v>16261</v>
      </c>
      <c r="AY3">
        <v>15245</v>
      </c>
      <c r="BA3">
        <v>239</v>
      </c>
      <c r="BB3">
        <v>1398568</v>
      </c>
      <c r="BC3">
        <v>6927</v>
      </c>
      <c r="BD3">
        <v>7495</v>
      </c>
      <c r="BE3">
        <v>3414</v>
      </c>
      <c r="BF3">
        <v>835374</v>
      </c>
      <c r="BG3">
        <v>0</v>
      </c>
      <c r="BH3">
        <v>324213</v>
      </c>
      <c r="BI3">
        <v>168213</v>
      </c>
      <c r="BJ3">
        <v>10462</v>
      </c>
      <c r="BK3">
        <v>50410</v>
      </c>
      <c r="BL3">
        <v>918106</v>
      </c>
      <c r="BM3">
        <v>1035395</v>
      </c>
      <c r="BN3">
        <v>147804</v>
      </c>
      <c r="BO3">
        <v>3904186</v>
      </c>
      <c r="BP3">
        <v>9288760</v>
      </c>
      <c r="BQ3">
        <v>3309</v>
      </c>
      <c r="BR3">
        <v>213731</v>
      </c>
      <c r="BS3" s="180">
        <v>80738</v>
      </c>
      <c r="BT3" s="180">
        <v>1141088</v>
      </c>
      <c r="BU3" s="180">
        <v>611</v>
      </c>
      <c r="BV3" s="180">
        <v>13065</v>
      </c>
      <c r="BW3" s="180">
        <v>37034</v>
      </c>
      <c r="BX3" s="180">
        <v>171284</v>
      </c>
      <c r="BY3" s="180">
        <v>10917910</v>
      </c>
      <c r="BZ3" s="180">
        <v>208115</v>
      </c>
      <c r="CA3" s="180">
        <v>913847</v>
      </c>
      <c r="CB3" s="180">
        <v>11501</v>
      </c>
      <c r="CC3" s="180">
        <v>117729</v>
      </c>
      <c r="CD3" s="180">
        <v>19407551</v>
      </c>
      <c r="CE3" s="180"/>
      <c r="CF3" s="180"/>
      <c r="CG3" s="180"/>
      <c r="CH3" s="180"/>
      <c r="CI3" s="180"/>
      <c r="CJ3" s="180"/>
      <c r="CK3" s="180"/>
      <c r="CL3" s="180"/>
      <c r="CM3" s="180"/>
      <c r="CN3" s="180"/>
      <c r="CO3" s="180"/>
      <c r="CP3" s="180"/>
      <c r="CQ3" s="180"/>
      <c r="CR3" s="180"/>
      <c r="CS3" s="180"/>
      <c r="CT3" s="180"/>
      <c r="CU3" s="180"/>
    </row>
    <row r="4" spans="1:99" x14ac:dyDescent="0.3">
      <c r="A4">
        <v>5</v>
      </c>
      <c r="B4" t="s">
        <v>112</v>
      </c>
      <c r="E4">
        <v>0</v>
      </c>
      <c r="F4">
        <v>19</v>
      </c>
      <c r="G4">
        <v>0</v>
      </c>
      <c r="H4">
        <v>0</v>
      </c>
      <c r="I4">
        <v>0</v>
      </c>
      <c r="J4">
        <v>0</v>
      </c>
      <c r="K4">
        <v>0</v>
      </c>
      <c r="L4">
        <v>0</v>
      </c>
      <c r="M4">
        <v>54918</v>
      </c>
      <c r="N4">
        <v>0</v>
      </c>
      <c r="O4">
        <v>0</v>
      </c>
      <c r="P4">
        <v>0</v>
      </c>
      <c r="Q4">
        <v>6000</v>
      </c>
      <c r="R4">
        <v>0</v>
      </c>
      <c r="S4">
        <v>0</v>
      </c>
      <c r="T4">
        <v>0</v>
      </c>
      <c r="U4">
        <v>9229</v>
      </c>
      <c r="V4">
        <v>3693</v>
      </c>
      <c r="W4">
        <v>16443</v>
      </c>
      <c r="X4">
        <v>0</v>
      </c>
      <c r="Y4">
        <v>0</v>
      </c>
      <c r="Z4">
        <v>15242</v>
      </c>
      <c r="AA4">
        <v>0</v>
      </c>
      <c r="AB4">
        <v>0</v>
      </c>
      <c r="AC4">
        <v>80933</v>
      </c>
      <c r="AD4">
        <v>0</v>
      </c>
      <c r="AF4">
        <v>0</v>
      </c>
      <c r="AG4">
        <v>0</v>
      </c>
      <c r="AH4">
        <v>0</v>
      </c>
      <c r="AI4">
        <v>0</v>
      </c>
      <c r="AJ4">
        <v>0</v>
      </c>
      <c r="AK4">
        <v>0</v>
      </c>
      <c r="AL4">
        <v>0</v>
      </c>
      <c r="AM4">
        <v>1800</v>
      </c>
      <c r="AN4">
        <v>222135</v>
      </c>
      <c r="AO4">
        <v>0</v>
      </c>
      <c r="AP4">
        <v>2773</v>
      </c>
      <c r="AQ4">
        <v>0</v>
      </c>
      <c r="AR4">
        <v>0</v>
      </c>
      <c r="AS4">
        <v>0</v>
      </c>
      <c r="AT4">
        <v>0</v>
      </c>
      <c r="AU4">
        <v>643243</v>
      </c>
      <c r="AV4">
        <v>0</v>
      </c>
      <c r="AW4">
        <v>0</v>
      </c>
      <c r="AX4">
        <v>441</v>
      </c>
      <c r="AY4">
        <v>0</v>
      </c>
      <c r="BA4">
        <v>31064</v>
      </c>
      <c r="BB4">
        <v>9854</v>
      </c>
      <c r="BC4">
        <v>0</v>
      </c>
      <c r="BD4">
        <v>1153</v>
      </c>
      <c r="BE4">
        <v>0</v>
      </c>
      <c r="BF4">
        <v>12327</v>
      </c>
      <c r="BG4">
        <v>4067</v>
      </c>
      <c r="BH4">
        <v>10318</v>
      </c>
      <c r="BI4">
        <v>0</v>
      </c>
      <c r="BJ4">
        <v>114</v>
      </c>
      <c r="BK4">
        <v>0</v>
      </c>
      <c r="BL4">
        <v>3371</v>
      </c>
      <c r="BM4">
        <v>0</v>
      </c>
      <c r="BN4">
        <v>0</v>
      </c>
      <c r="BO4">
        <v>4287</v>
      </c>
      <c r="BP4">
        <v>47824</v>
      </c>
      <c r="BQ4">
        <v>0</v>
      </c>
      <c r="BR4">
        <v>0</v>
      </c>
      <c r="BS4" s="180">
        <v>0</v>
      </c>
      <c r="BT4" s="180">
        <v>0</v>
      </c>
      <c r="BU4" s="180">
        <v>0</v>
      </c>
      <c r="BV4" s="180">
        <v>588</v>
      </c>
      <c r="BW4" s="180">
        <v>0</v>
      </c>
      <c r="BX4" s="180">
        <v>33246</v>
      </c>
      <c r="BY4" s="180">
        <v>1523285</v>
      </c>
      <c r="BZ4" s="180">
        <v>0</v>
      </c>
      <c r="CA4" s="180">
        <v>0</v>
      </c>
      <c r="CB4" s="180">
        <v>750</v>
      </c>
      <c r="CC4" s="180">
        <v>0</v>
      </c>
      <c r="CD4" s="180">
        <v>56592</v>
      </c>
      <c r="CE4" s="180"/>
      <c r="CF4" s="180"/>
      <c r="CG4" s="180"/>
      <c r="CH4" s="180"/>
      <c r="CI4" s="180"/>
      <c r="CJ4" s="180"/>
      <c r="CK4" s="180"/>
      <c r="CL4" s="180"/>
      <c r="CM4" s="180"/>
      <c r="CN4" s="180"/>
      <c r="CO4" s="180"/>
      <c r="CP4" s="180"/>
      <c r="CQ4" s="180"/>
      <c r="CR4" s="180"/>
      <c r="CS4" s="180"/>
      <c r="CT4" s="180"/>
      <c r="CU4" s="180"/>
    </row>
    <row r="5" spans="1:99" x14ac:dyDescent="0.3">
      <c r="A5">
        <v>6</v>
      </c>
      <c r="B5" t="s">
        <v>251</v>
      </c>
      <c r="E5">
        <v>0</v>
      </c>
      <c r="F5">
        <v>0</v>
      </c>
      <c r="G5">
        <v>0</v>
      </c>
      <c r="H5">
        <v>0</v>
      </c>
      <c r="I5">
        <v>0</v>
      </c>
      <c r="J5">
        <v>0</v>
      </c>
      <c r="K5">
        <v>0</v>
      </c>
      <c r="L5">
        <v>0</v>
      </c>
      <c r="M5">
        <v>6295977</v>
      </c>
      <c r="N5">
        <v>0</v>
      </c>
      <c r="O5">
        <v>0</v>
      </c>
      <c r="P5">
        <v>0</v>
      </c>
      <c r="Q5">
        <v>0</v>
      </c>
      <c r="R5">
        <v>0</v>
      </c>
      <c r="S5">
        <v>0</v>
      </c>
      <c r="T5">
        <v>0</v>
      </c>
      <c r="U5">
        <v>0</v>
      </c>
      <c r="V5">
        <v>0</v>
      </c>
      <c r="W5">
        <v>0</v>
      </c>
      <c r="X5">
        <v>0</v>
      </c>
      <c r="Y5">
        <v>0</v>
      </c>
      <c r="Z5">
        <v>0</v>
      </c>
      <c r="AA5">
        <v>0</v>
      </c>
      <c r="AB5">
        <v>0</v>
      </c>
      <c r="AC5">
        <v>1965997</v>
      </c>
      <c r="AD5">
        <v>0</v>
      </c>
      <c r="AF5">
        <v>2930284</v>
      </c>
      <c r="AG5">
        <v>0</v>
      </c>
      <c r="AH5">
        <v>0</v>
      </c>
      <c r="AI5">
        <v>0</v>
      </c>
      <c r="AJ5">
        <v>0</v>
      </c>
      <c r="AK5">
        <v>0</v>
      </c>
      <c r="AL5">
        <v>2063324</v>
      </c>
      <c r="AM5">
        <v>0</v>
      </c>
      <c r="AN5">
        <v>0</v>
      </c>
      <c r="AO5">
        <v>0</v>
      </c>
      <c r="AP5">
        <v>0</v>
      </c>
      <c r="AQ5">
        <v>0</v>
      </c>
      <c r="AR5">
        <v>0</v>
      </c>
      <c r="AS5">
        <v>0</v>
      </c>
      <c r="AT5">
        <v>0</v>
      </c>
      <c r="AU5">
        <v>10165522</v>
      </c>
      <c r="AV5">
        <v>2532134</v>
      </c>
      <c r="AW5">
        <v>0</v>
      </c>
      <c r="AX5">
        <v>0</v>
      </c>
      <c r="AY5">
        <v>0</v>
      </c>
      <c r="BA5">
        <v>0</v>
      </c>
      <c r="BB5">
        <v>0</v>
      </c>
      <c r="BC5">
        <v>0</v>
      </c>
      <c r="BD5">
        <v>0</v>
      </c>
      <c r="BE5">
        <v>0</v>
      </c>
      <c r="BF5">
        <v>732830</v>
      </c>
      <c r="BG5">
        <v>0</v>
      </c>
      <c r="BH5">
        <v>2032700</v>
      </c>
      <c r="BI5">
        <v>0</v>
      </c>
      <c r="BJ5">
        <v>0</v>
      </c>
      <c r="BK5">
        <v>0</v>
      </c>
      <c r="BL5">
        <v>0</v>
      </c>
      <c r="BM5">
        <v>0</v>
      </c>
      <c r="BN5">
        <v>60000</v>
      </c>
      <c r="BO5">
        <v>8099945</v>
      </c>
      <c r="BP5">
        <v>5078414</v>
      </c>
      <c r="BQ5">
        <v>0</v>
      </c>
      <c r="BR5">
        <v>0</v>
      </c>
      <c r="BS5" s="180">
        <v>0</v>
      </c>
      <c r="BT5" s="180">
        <v>890332</v>
      </c>
      <c r="BU5" s="180">
        <v>0</v>
      </c>
      <c r="BV5" s="180">
        <v>0</v>
      </c>
      <c r="BW5" s="180">
        <v>0</v>
      </c>
      <c r="BX5" s="180">
        <v>0</v>
      </c>
      <c r="BY5" s="180">
        <v>1515987</v>
      </c>
      <c r="BZ5" s="180">
        <v>0</v>
      </c>
      <c r="CA5" s="180">
        <v>72670</v>
      </c>
      <c r="CB5" s="180">
        <v>0</v>
      </c>
      <c r="CC5" s="180">
        <v>0</v>
      </c>
      <c r="CD5" s="180">
        <v>6334474</v>
      </c>
      <c r="CE5" s="180"/>
      <c r="CF5" s="180"/>
      <c r="CG5" s="180"/>
      <c r="CH5" s="180"/>
      <c r="CI5" s="180"/>
      <c r="CJ5" s="180"/>
      <c r="CK5" s="180"/>
      <c r="CL5" s="180"/>
      <c r="CM5" s="180"/>
      <c r="CN5" s="180"/>
      <c r="CO5" s="180"/>
      <c r="CP5" s="180"/>
      <c r="CQ5" s="180"/>
      <c r="CR5" s="180"/>
      <c r="CS5" s="180"/>
      <c r="CT5" s="180"/>
      <c r="CU5" s="180"/>
    </row>
    <row r="6" spans="1:99" x14ac:dyDescent="0.3">
      <c r="A6">
        <v>7</v>
      </c>
      <c r="B6" t="s">
        <v>193</v>
      </c>
      <c r="E6">
        <v>0</v>
      </c>
      <c r="F6">
        <v>7963</v>
      </c>
      <c r="G6">
        <v>0</v>
      </c>
      <c r="H6">
        <v>5270</v>
      </c>
      <c r="I6">
        <v>0</v>
      </c>
      <c r="J6">
        <v>2563</v>
      </c>
      <c r="K6">
        <v>6913</v>
      </c>
      <c r="L6">
        <v>16822</v>
      </c>
      <c r="M6">
        <v>2833668</v>
      </c>
      <c r="N6">
        <v>0</v>
      </c>
      <c r="O6">
        <v>25570</v>
      </c>
      <c r="P6">
        <v>1608</v>
      </c>
      <c r="Q6">
        <v>106384</v>
      </c>
      <c r="R6">
        <v>341</v>
      </c>
      <c r="S6">
        <v>9375</v>
      </c>
      <c r="T6">
        <v>0</v>
      </c>
      <c r="U6">
        <v>3111</v>
      </c>
      <c r="V6">
        <v>0</v>
      </c>
      <c r="W6">
        <v>0</v>
      </c>
      <c r="X6">
        <v>0</v>
      </c>
      <c r="Y6">
        <v>0</v>
      </c>
      <c r="Z6">
        <v>7200</v>
      </c>
      <c r="AA6">
        <v>0</v>
      </c>
      <c r="AB6">
        <v>0</v>
      </c>
      <c r="AC6">
        <v>112597</v>
      </c>
      <c r="AD6">
        <v>0</v>
      </c>
      <c r="AF6">
        <v>959288</v>
      </c>
      <c r="AG6">
        <v>0</v>
      </c>
      <c r="AH6">
        <v>2783</v>
      </c>
      <c r="AI6">
        <v>146834</v>
      </c>
      <c r="AJ6">
        <v>0</v>
      </c>
      <c r="AK6">
        <v>0</v>
      </c>
      <c r="AL6">
        <v>760312</v>
      </c>
      <c r="AM6">
        <v>0</v>
      </c>
      <c r="AN6">
        <v>0</v>
      </c>
      <c r="AO6">
        <v>0</v>
      </c>
      <c r="AP6">
        <v>188</v>
      </c>
      <c r="AQ6">
        <v>0</v>
      </c>
      <c r="AR6">
        <v>0</v>
      </c>
      <c r="AS6">
        <v>0</v>
      </c>
      <c r="AT6">
        <v>0</v>
      </c>
      <c r="AU6">
        <v>2170021</v>
      </c>
      <c r="AV6">
        <v>53317</v>
      </c>
      <c r="AW6">
        <v>28673</v>
      </c>
      <c r="AX6">
        <v>0</v>
      </c>
      <c r="AY6">
        <v>0</v>
      </c>
      <c r="BA6">
        <v>0</v>
      </c>
      <c r="BB6">
        <v>0</v>
      </c>
      <c r="BC6">
        <v>11627</v>
      </c>
      <c r="BD6">
        <v>0</v>
      </c>
      <c r="BE6">
        <v>0</v>
      </c>
      <c r="BF6">
        <v>335173</v>
      </c>
      <c r="BG6">
        <v>0</v>
      </c>
      <c r="BH6">
        <v>16946</v>
      </c>
      <c r="BI6">
        <v>0</v>
      </c>
      <c r="BJ6">
        <v>0</v>
      </c>
      <c r="BK6">
        <v>0</v>
      </c>
      <c r="BL6">
        <v>5063</v>
      </c>
      <c r="BM6">
        <v>37503</v>
      </c>
      <c r="BN6">
        <v>0</v>
      </c>
      <c r="BO6">
        <v>2098251</v>
      </c>
      <c r="BP6">
        <v>691447</v>
      </c>
      <c r="BQ6">
        <v>0</v>
      </c>
      <c r="BR6">
        <v>148112</v>
      </c>
      <c r="BS6" s="180">
        <v>0</v>
      </c>
      <c r="BT6" s="180">
        <v>0</v>
      </c>
      <c r="BU6" s="180">
        <v>0</v>
      </c>
      <c r="BV6" s="180">
        <v>0</v>
      </c>
      <c r="BW6" s="180">
        <v>0</v>
      </c>
      <c r="BX6" s="180">
        <v>0</v>
      </c>
      <c r="BY6" s="180">
        <v>313676</v>
      </c>
      <c r="BZ6" s="180">
        <v>0</v>
      </c>
      <c r="CA6" s="180">
        <v>18792</v>
      </c>
      <c r="CB6" s="180">
        <v>13003</v>
      </c>
      <c r="CC6" s="180">
        <v>166868</v>
      </c>
      <c r="CD6" s="180">
        <v>256224</v>
      </c>
      <c r="CE6" s="180"/>
      <c r="CF6" s="180"/>
      <c r="CG6" s="180"/>
      <c r="CH6" s="180"/>
      <c r="CI6" s="180"/>
      <c r="CJ6" s="180"/>
      <c r="CK6" s="180"/>
      <c r="CL6" s="180"/>
      <c r="CM6" s="180"/>
      <c r="CN6" s="180"/>
      <c r="CO6" s="180"/>
      <c r="CP6" s="180"/>
      <c r="CQ6" s="180"/>
      <c r="CR6" s="180"/>
      <c r="CS6" s="180"/>
      <c r="CT6" s="180"/>
      <c r="CU6" s="180"/>
    </row>
    <row r="7" spans="1:99" x14ac:dyDescent="0.3">
      <c r="A7">
        <v>9</v>
      </c>
      <c r="B7" t="s">
        <v>195</v>
      </c>
      <c r="E7">
        <v>1229870</v>
      </c>
      <c r="F7">
        <v>654301</v>
      </c>
      <c r="G7">
        <v>1246180</v>
      </c>
      <c r="H7">
        <v>1445247</v>
      </c>
      <c r="I7">
        <v>366852</v>
      </c>
      <c r="J7">
        <v>126224</v>
      </c>
      <c r="K7">
        <v>527466</v>
      </c>
      <c r="L7">
        <v>3547643</v>
      </c>
      <c r="M7">
        <v>94100556</v>
      </c>
      <c r="N7">
        <v>3625479</v>
      </c>
      <c r="O7">
        <v>11119786</v>
      </c>
      <c r="P7">
        <v>198616</v>
      </c>
      <c r="Q7">
        <v>8924968</v>
      </c>
      <c r="R7">
        <v>213289</v>
      </c>
      <c r="S7">
        <v>706522</v>
      </c>
      <c r="T7">
        <v>2212983</v>
      </c>
      <c r="U7">
        <v>2687335</v>
      </c>
      <c r="V7">
        <v>8200469</v>
      </c>
      <c r="W7">
        <v>1656821</v>
      </c>
      <c r="X7">
        <v>1016964</v>
      </c>
      <c r="Y7">
        <v>330740</v>
      </c>
      <c r="Z7">
        <v>44720848</v>
      </c>
      <c r="AA7">
        <v>5050454</v>
      </c>
      <c r="AB7">
        <v>1749021</v>
      </c>
      <c r="AC7">
        <v>46914729</v>
      </c>
      <c r="AD7">
        <v>964339</v>
      </c>
      <c r="AF7">
        <v>50774209</v>
      </c>
      <c r="AG7">
        <v>1279981</v>
      </c>
      <c r="AH7">
        <v>382329</v>
      </c>
      <c r="AI7">
        <v>3935193</v>
      </c>
      <c r="AJ7">
        <v>1460908</v>
      </c>
      <c r="AK7">
        <v>150054</v>
      </c>
      <c r="AL7">
        <v>27339238</v>
      </c>
      <c r="AM7">
        <v>754674</v>
      </c>
      <c r="AN7">
        <v>15806829</v>
      </c>
      <c r="AO7">
        <v>171702</v>
      </c>
      <c r="AP7">
        <v>6474479</v>
      </c>
      <c r="AQ7">
        <v>3504055</v>
      </c>
      <c r="AR7">
        <v>282617</v>
      </c>
      <c r="AS7">
        <v>2980262</v>
      </c>
      <c r="AT7">
        <v>1215451</v>
      </c>
      <c r="AU7">
        <v>126633852</v>
      </c>
      <c r="AV7">
        <v>36695679</v>
      </c>
      <c r="AW7">
        <v>1814861</v>
      </c>
      <c r="AX7">
        <v>354919</v>
      </c>
      <c r="AY7">
        <v>638588</v>
      </c>
      <c r="BA7">
        <v>1041005</v>
      </c>
      <c r="BB7">
        <v>4895078</v>
      </c>
      <c r="BC7">
        <v>1449206</v>
      </c>
      <c r="BD7">
        <v>286168</v>
      </c>
      <c r="BE7">
        <v>185850</v>
      </c>
      <c r="BF7">
        <v>9231897</v>
      </c>
      <c r="BG7">
        <v>101127</v>
      </c>
      <c r="BH7">
        <v>16700293</v>
      </c>
      <c r="BI7">
        <v>1708961</v>
      </c>
      <c r="BJ7">
        <v>679229</v>
      </c>
      <c r="BK7">
        <v>541463</v>
      </c>
      <c r="BL7">
        <v>12809596</v>
      </c>
      <c r="BM7">
        <v>11594167</v>
      </c>
      <c r="BN7">
        <v>2056301</v>
      </c>
      <c r="BO7">
        <v>52938215</v>
      </c>
      <c r="BP7">
        <v>46144605</v>
      </c>
      <c r="BQ7">
        <v>399886</v>
      </c>
      <c r="BR7">
        <v>4920032</v>
      </c>
      <c r="BS7" s="180">
        <v>2730657</v>
      </c>
      <c r="BT7" s="180">
        <v>14263322</v>
      </c>
      <c r="BU7" s="180">
        <v>375486</v>
      </c>
      <c r="BV7" s="180">
        <v>720746</v>
      </c>
      <c r="BW7" s="180">
        <v>5596041</v>
      </c>
      <c r="BX7" s="180">
        <v>4098015</v>
      </c>
      <c r="BY7" s="180">
        <v>30024557</v>
      </c>
      <c r="BZ7" s="180">
        <v>360119</v>
      </c>
      <c r="CA7" s="180">
        <v>8761744</v>
      </c>
      <c r="CB7" s="180">
        <v>1176011</v>
      </c>
      <c r="CC7" s="180">
        <v>3199249</v>
      </c>
      <c r="CD7" s="180">
        <v>66285670</v>
      </c>
      <c r="CE7" s="180"/>
      <c r="CF7" s="180"/>
      <c r="CG7" s="180"/>
      <c r="CH7" s="180"/>
      <c r="CI7" s="180"/>
      <c r="CJ7" s="180"/>
      <c r="CK7" s="180"/>
      <c r="CL7" s="180"/>
      <c r="CM7" s="180"/>
      <c r="CN7" s="180"/>
      <c r="CO7" s="180"/>
      <c r="CP7" s="180"/>
      <c r="CQ7" s="180"/>
      <c r="CR7" s="180"/>
      <c r="CS7" s="180"/>
      <c r="CT7" s="180"/>
      <c r="CU7" s="180"/>
    </row>
    <row r="8" spans="1:99" x14ac:dyDescent="0.3">
      <c r="A8">
        <v>11</v>
      </c>
      <c r="B8" t="s">
        <v>194</v>
      </c>
      <c r="E8">
        <v>105584</v>
      </c>
      <c r="F8">
        <v>0</v>
      </c>
      <c r="G8">
        <v>781</v>
      </c>
      <c r="H8">
        <v>150882</v>
      </c>
      <c r="I8">
        <v>39880</v>
      </c>
      <c r="J8">
        <v>17373</v>
      </c>
      <c r="K8">
        <v>97861</v>
      </c>
      <c r="L8">
        <v>520631</v>
      </c>
      <c r="M8">
        <v>0</v>
      </c>
      <c r="N8">
        <v>0</v>
      </c>
      <c r="O8">
        <v>521127</v>
      </c>
      <c r="P8">
        <v>26032</v>
      </c>
      <c r="Q8">
        <v>504949</v>
      </c>
      <c r="R8">
        <v>15327</v>
      </c>
      <c r="S8">
        <v>52064</v>
      </c>
      <c r="T8">
        <v>9805</v>
      </c>
      <c r="U8">
        <v>832000</v>
      </c>
      <c r="V8">
        <v>563990</v>
      </c>
      <c r="W8">
        <v>0</v>
      </c>
      <c r="X8">
        <v>83507</v>
      </c>
      <c r="Y8">
        <v>0</v>
      </c>
      <c r="Z8">
        <v>2582334</v>
      </c>
      <c r="AA8">
        <v>0</v>
      </c>
      <c r="AB8">
        <v>33272</v>
      </c>
      <c r="AC8">
        <v>771000</v>
      </c>
      <c r="AD8">
        <v>57491</v>
      </c>
      <c r="AF8">
        <v>1602358</v>
      </c>
      <c r="AG8">
        <v>31870</v>
      </c>
      <c r="AH8">
        <v>14680</v>
      </c>
      <c r="AI8">
        <v>275980</v>
      </c>
      <c r="AJ8">
        <v>92961</v>
      </c>
      <c r="AK8">
        <v>35462</v>
      </c>
      <c r="AL8">
        <v>0</v>
      </c>
      <c r="AM8">
        <v>39146</v>
      </c>
      <c r="AN8">
        <v>0</v>
      </c>
      <c r="AO8">
        <v>0</v>
      </c>
      <c r="AP8">
        <v>88755</v>
      </c>
      <c r="AQ8">
        <v>92652</v>
      </c>
      <c r="AR8">
        <v>0</v>
      </c>
      <c r="AS8">
        <v>151698</v>
      </c>
      <c r="AT8">
        <v>40130</v>
      </c>
      <c r="AU8">
        <v>0</v>
      </c>
      <c r="AV8">
        <v>0</v>
      </c>
      <c r="AW8">
        <v>0</v>
      </c>
      <c r="AX8">
        <v>17147</v>
      </c>
      <c r="AY8">
        <v>61114</v>
      </c>
      <c r="BA8">
        <v>22265</v>
      </c>
      <c r="BB8">
        <v>57630</v>
      </c>
      <c r="BC8">
        <v>0</v>
      </c>
      <c r="BD8">
        <v>3765</v>
      </c>
      <c r="BE8">
        <v>15858</v>
      </c>
      <c r="BF8">
        <v>85490</v>
      </c>
      <c r="BG8">
        <v>22665</v>
      </c>
      <c r="BH8">
        <v>518715</v>
      </c>
      <c r="BI8">
        <v>251523</v>
      </c>
      <c r="BJ8">
        <v>75120</v>
      </c>
      <c r="BK8">
        <v>0</v>
      </c>
      <c r="BL8">
        <v>1365631</v>
      </c>
      <c r="BM8">
        <v>0</v>
      </c>
      <c r="BN8">
        <v>178048</v>
      </c>
      <c r="BO8">
        <v>0</v>
      </c>
      <c r="BP8">
        <v>0</v>
      </c>
      <c r="BQ8">
        <v>40399</v>
      </c>
      <c r="BR8">
        <v>149799</v>
      </c>
      <c r="BS8" s="180">
        <v>117822</v>
      </c>
      <c r="BT8" s="180">
        <v>761737</v>
      </c>
      <c r="BU8" s="180">
        <v>67931</v>
      </c>
      <c r="BV8" s="180">
        <v>105205</v>
      </c>
      <c r="BW8" s="180">
        <v>0</v>
      </c>
      <c r="BX8" s="180">
        <v>195380</v>
      </c>
      <c r="BY8" s="180">
        <v>3436357</v>
      </c>
      <c r="BZ8" s="180">
        <v>48855</v>
      </c>
      <c r="CA8" s="180">
        <v>315068</v>
      </c>
      <c r="CB8" s="180">
        <v>37012</v>
      </c>
      <c r="CC8" s="180">
        <v>213501</v>
      </c>
      <c r="CD8" s="180">
        <v>1264609</v>
      </c>
      <c r="CE8" s="180"/>
      <c r="CF8" s="180"/>
      <c r="CG8" s="180"/>
      <c r="CH8" s="180"/>
      <c r="CI8" s="180"/>
      <c r="CJ8" s="180"/>
      <c r="CK8" s="180"/>
      <c r="CL8" s="180"/>
      <c r="CM8" s="180"/>
      <c r="CN8" s="180"/>
      <c r="CO8" s="180"/>
      <c r="CP8" s="180"/>
      <c r="CQ8" s="180"/>
      <c r="CR8" s="180"/>
      <c r="CS8" s="180"/>
      <c r="CT8" s="180"/>
      <c r="CU8" s="180"/>
    </row>
    <row r="9" spans="1:99" x14ac:dyDescent="0.3">
      <c r="A9">
        <v>16</v>
      </c>
      <c r="B9" t="s">
        <v>197</v>
      </c>
      <c r="E9">
        <v>2498682</v>
      </c>
      <c r="F9">
        <v>415440</v>
      </c>
      <c r="G9">
        <v>1065018</v>
      </c>
      <c r="H9">
        <v>911073</v>
      </c>
      <c r="I9">
        <v>232723</v>
      </c>
      <c r="J9">
        <v>55916</v>
      </c>
      <c r="K9">
        <v>111926</v>
      </c>
      <c r="L9">
        <v>5252009</v>
      </c>
      <c r="M9">
        <v>192727718</v>
      </c>
      <c r="N9">
        <v>2422854</v>
      </c>
      <c r="O9">
        <v>8963320</v>
      </c>
      <c r="P9">
        <v>157705</v>
      </c>
      <c r="Q9">
        <v>16041035</v>
      </c>
      <c r="R9">
        <v>119087</v>
      </c>
      <c r="S9">
        <v>391611</v>
      </c>
      <c r="T9">
        <v>2630485</v>
      </c>
      <c r="U9">
        <v>1622286</v>
      </c>
      <c r="V9">
        <v>7212603</v>
      </c>
      <c r="W9">
        <v>2833364</v>
      </c>
      <c r="X9">
        <v>879832</v>
      </c>
      <c r="Y9">
        <v>1028958</v>
      </c>
      <c r="Z9">
        <v>63626398</v>
      </c>
      <c r="AA9">
        <v>1795167</v>
      </c>
      <c r="AB9">
        <v>677610</v>
      </c>
      <c r="AC9">
        <v>52068030</v>
      </c>
      <c r="AD9">
        <v>1396707</v>
      </c>
      <c r="AF9">
        <v>81345854</v>
      </c>
      <c r="AG9">
        <v>286559</v>
      </c>
      <c r="AH9">
        <v>315916</v>
      </c>
      <c r="AI9">
        <v>8865131</v>
      </c>
      <c r="AJ9">
        <v>1230364</v>
      </c>
      <c r="AK9">
        <v>130101</v>
      </c>
      <c r="AL9">
        <v>42358658</v>
      </c>
      <c r="AM9">
        <v>303829</v>
      </c>
      <c r="AN9">
        <v>18126401</v>
      </c>
      <c r="AO9">
        <v>104929</v>
      </c>
      <c r="AP9">
        <v>6342997</v>
      </c>
      <c r="AQ9">
        <v>3198060</v>
      </c>
      <c r="AR9">
        <v>75650</v>
      </c>
      <c r="AS9">
        <v>1848385</v>
      </c>
      <c r="AT9">
        <v>392347</v>
      </c>
      <c r="AU9">
        <v>369016145</v>
      </c>
      <c r="AV9">
        <v>97887987</v>
      </c>
      <c r="AW9">
        <v>2079852</v>
      </c>
      <c r="AX9">
        <v>404813</v>
      </c>
      <c r="AY9">
        <v>509313</v>
      </c>
      <c r="BA9">
        <v>479456</v>
      </c>
      <c r="BB9">
        <v>6465038</v>
      </c>
      <c r="BC9">
        <v>343469</v>
      </c>
      <c r="BD9">
        <v>142523</v>
      </c>
      <c r="BE9">
        <v>77602</v>
      </c>
      <c r="BF9">
        <v>23236065</v>
      </c>
      <c r="BG9">
        <v>32319</v>
      </c>
      <c r="BH9">
        <v>16070905</v>
      </c>
      <c r="BI9">
        <v>3089113</v>
      </c>
      <c r="BJ9">
        <v>257087</v>
      </c>
      <c r="BK9">
        <v>83104</v>
      </c>
      <c r="BL9">
        <v>17532725</v>
      </c>
      <c r="BM9">
        <v>21581054</v>
      </c>
      <c r="BN9">
        <v>2381002</v>
      </c>
      <c r="BO9">
        <v>69744323</v>
      </c>
      <c r="BP9">
        <v>140719893</v>
      </c>
      <c r="BQ9">
        <v>376833</v>
      </c>
      <c r="BR9">
        <v>6423958</v>
      </c>
      <c r="BS9" s="180">
        <v>1160957</v>
      </c>
      <c r="BT9" s="180">
        <v>15384818</v>
      </c>
      <c r="BU9" s="180">
        <v>177641</v>
      </c>
      <c r="BV9" s="180">
        <v>249743</v>
      </c>
      <c r="BW9" s="180">
        <v>4621849</v>
      </c>
      <c r="BX9" s="180">
        <v>7071981</v>
      </c>
      <c r="BY9" s="180">
        <v>52590556</v>
      </c>
      <c r="BZ9" s="180">
        <v>361449</v>
      </c>
      <c r="CA9" s="180">
        <v>16790368</v>
      </c>
      <c r="CB9" s="180">
        <v>729336</v>
      </c>
      <c r="CC9" s="180">
        <v>4098293</v>
      </c>
      <c r="CD9" s="180">
        <v>60773044</v>
      </c>
      <c r="CE9" s="180"/>
      <c r="CF9" s="180"/>
      <c r="CG9" s="180"/>
      <c r="CH9" s="180"/>
      <c r="CI9" s="180"/>
      <c r="CJ9" s="180"/>
      <c r="CK9" s="180"/>
      <c r="CL9" s="180"/>
      <c r="CM9" s="180"/>
      <c r="CN9" s="180"/>
      <c r="CO9" s="180"/>
      <c r="CP9" s="180"/>
      <c r="CQ9" s="180"/>
      <c r="CR9" s="180"/>
      <c r="CS9" s="180"/>
      <c r="CT9" s="180"/>
      <c r="CU9" s="180"/>
    </row>
    <row r="10" spans="1:99" x14ac:dyDescent="0.3">
      <c r="A10">
        <v>17</v>
      </c>
      <c r="B10" t="s">
        <v>200</v>
      </c>
      <c r="E10">
        <v>0</v>
      </c>
      <c r="F10">
        <v>114586</v>
      </c>
      <c r="G10">
        <v>0</v>
      </c>
      <c r="H10">
        <v>0</v>
      </c>
      <c r="I10">
        <v>0</v>
      </c>
      <c r="J10">
        <v>0</v>
      </c>
      <c r="K10">
        <v>0</v>
      </c>
      <c r="L10">
        <v>1993987</v>
      </c>
      <c r="M10">
        <v>1111000</v>
      </c>
      <c r="N10">
        <v>583231</v>
      </c>
      <c r="O10">
        <v>2667179</v>
      </c>
      <c r="P10">
        <v>0</v>
      </c>
      <c r="Q10">
        <v>2282511</v>
      </c>
      <c r="R10">
        <v>0</v>
      </c>
      <c r="S10">
        <v>0</v>
      </c>
      <c r="T10">
        <v>266344</v>
      </c>
      <c r="U10">
        <v>156191</v>
      </c>
      <c r="V10">
        <v>40402</v>
      </c>
      <c r="W10">
        <v>0</v>
      </c>
      <c r="X10">
        <v>0</v>
      </c>
      <c r="Y10">
        <v>17633</v>
      </c>
      <c r="Z10">
        <v>553874</v>
      </c>
      <c r="AA10">
        <v>52921</v>
      </c>
      <c r="AB10">
        <v>0</v>
      </c>
      <c r="AC10">
        <v>10292808</v>
      </c>
      <c r="AD10">
        <v>0</v>
      </c>
      <c r="AF10">
        <v>2657397</v>
      </c>
      <c r="AG10">
        <v>0</v>
      </c>
      <c r="AH10">
        <v>11599</v>
      </c>
      <c r="AI10">
        <v>1214360</v>
      </c>
      <c r="AJ10">
        <v>236314</v>
      </c>
      <c r="AK10">
        <v>1150</v>
      </c>
      <c r="AL10">
        <v>0</v>
      </c>
      <c r="AM10">
        <v>0</v>
      </c>
      <c r="AN10">
        <v>306953</v>
      </c>
      <c r="AO10">
        <v>0</v>
      </c>
      <c r="AP10">
        <v>742406</v>
      </c>
      <c r="AQ10">
        <v>479958</v>
      </c>
      <c r="AR10">
        <v>908</v>
      </c>
      <c r="AS10">
        <v>90000</v>
      </c>
      <c r="AT10">
        <v>0</v>
      </c>
      <c r="AU10">
        <v>62788845</v>
      </c>
      <c r="AV10">
        <v>7091429</v>
      </c>
      <c r="AW10">
        <v>137771</v>
      </c>
      <c r="AX10">
        <v>65275</v>
      </c>
      <c r="AY10">
        <v>35905</v>
      </c>
      <c r="BA10">
        <v>0</v>
      </c>
      <c r="BB10">
        <v>0</v>
      </c>
      <c r="BC10">
        <v>0</v>
      </c>
      <c r="BD10">
        <v>0</v>
      </c>
      <c r="BE10">
        <v>0</v>
      </c>
      <c r="BF10">
        <v>768533</v>
      </c>
      <c r="BG10">
        <v>0</v>
      </c>
      <c r="BH10">
        <v>0</v>
      </c>
      <c r="BI10">
        <v>0</v>
      </c>
      <c r="BJ10">
        <v>54279</v>
      </c>
      <c r="BK10">
        <v>0</v>
      </c>
      <c r="BL10">
        <v>1052970</v>
      </c>
      <c r="BM10">
        <v>4555606</v>
      </c>
      <c r="BN10">
        <v>9200</v>
      </c>
      <c r="BO10">
        <v>12608799</v>
      </c>
      <c r="BP10">
        <v>2166151</v>
      </c>
      <c r="BQ10">
        <v>74742</v>
      </c>
      <c r="BR10">
        <v>0</v>
      </c>
      <c r="BS10" s="180">
        <v>290087</v>
      </c>
      <c r="BT10" s="180">
        <v>0</v>
      </c>
      <c r="BU10" s="180">
        <v>7000</v>
      </c>
      <c r="BV10" s="180">
        <v>0</v>
      </c>
      <c r="BW10" s="180">
        <v>293842</v>
      </c>
      <c r="BX10" s="180">
        <v>0</v>
      </c>
      <c r="BY10" s="180">
        <v>4776890</v>
      </c>
      <c r="BZ10" s="180">
        <v>22000</v>
      </c>
      <c r="CA10" s="180">
        <v>0</v>
      </c>
      <c r="CB10" s="180">
        <v>0</v>
      </c>
      <c r="CC10" s="180">
        <v>687751</v>
      </c>
      <c r="CD10" s="180">
        <v>4824980</v>
      </c>
      <c r="CE10" s="180"/>
      <c r="CF10" s="180"/>
      <c r="CG10" s="180"/>
      <c r="CH10" s="180"/>
      <c r="CI10" s="180"/>
      <c r="CJ10" s="180"/>
      <c r="CK10" s="180"/>
      <c r="CL10" s="180"/>
      <c r="CM10" s="180"/>
      <c r="CN10" s="180"/>
      <c r="CO10" s="180"/>
      <c r="CP10" s="180"/>
      <c r="CQ10" s="180"/>
      <c r="CR10" s="180"/>
      <c r="CS10" s="180"/>
      <c r="CT10" s="180"/>
      <c r="CU10" s="180"/>
    </row>
    <row r="11" spans="1:99" x14ac:dyDescent="0.3">
      <c r="A11">
        <v>20</v>
      </c>
      <c r="B11" t="s">
        <v>201</v>
      </c>
      <c r="E11">
        <v>0</v>
      </c>
      <c r="F11">
        <v>0</v>
      </c>
      <c r="G11">
        <v>0</v>
      </c>
      <c r="H11">
        <v>89000</v>
      </c>
      <c r="I11">
        <v>0</v>
      </c>
      <c r="J11">
        <v>0</v>
      </c>
      <c r="K11">
        <v>0</v>
      </c>
      <c r="L11">
        <v>0</v>
      </c>
      <c r="M11">
        <v>17458158</v>
      </c>
      <c r="N11">
        <v>83436</v>
      </c>
      <c r="O11">
        <v>0</v>
      </c>
      <c r="P11">
        <v>0</v>
      </c>
      <c r="Q11">
        <v>0</v>
      </c>
      <c r="R11">
        <v>0</v>
      </c>
      <c r="S11">
        <v>85000</v>
      </c>
      <c r="T11">
        <v>0</v>
      </c>
      <c r="U11">
        <v>0</v>
      </c>
      <c r="V11">
        <v>0</v>
      </c>
      <c r="W11">
        <v>0</v>
      </c>
      <c r="X11">
        <v>0</v>
      </c>
      <c r="Y11">
        <v>0</v>
      </c>
      <c r="Z11">
        <v>12057393</v>
      </c>
      <c r="AA11">
        <v>0</v>
      </c>
      <c r="AB11">
        <v>0</v>
      </c>
      <c r="AC11">
        <v>358476</v>
      </c>
      <c r="AD11">
        <v>0</v>
      </c>
      <c r="AF11">
        <v>7164318</v>
      </c>
      <c r="AG11">
        <v>0</v>
      </c>
      <c r="AH11">
        <v>0</v>
      </c>
      <c r="AI11">
        <v>1784632</v>
      </c>
      <c r="AJ11">
        <v>0</v>
      </c>
      <c r="AK11">
        <v>0</v>
      </c>
      <c r="AL11">
        <v>0</v>
      </c>
      <c r="AM11">
        <v>0</v>
      </c>
      <c r="AN11">
        <v>0</v>
      </c>
      <c r="AO11">
        <v>0</v>
      </c>
      <c r="AP11">
        <v>819977</v>
      </c>
      <c r="AQ11">
        <v>25179</v>
      </c>
      <c r="AR11">
        <v>0</v>
      </c>
      <c r="AS11">
        <v>0</v>
      </c>
      <c r="AT11">
        <v>1369</v>
      </c>
      <c r="AU11">
        <v>101505053</v>
      </c>
      <c r="AV11">
        <v>15014004</v>
      </c>
      <c r="AW11">
        <v>27007</v>
      </c>
      <c r="AX11">
        <v>0</v>
      </c>
      <c r="AY11">
        <v>0</v>
      </c>
      <c r="BA11">
        <v>0</v>
      </c>
      <c r="BB11">
        <v>0</v>
      </c>
      <c r="BC11">
        <v>0</v>
      </c>
      <c r="BD11">
        <v>0</v>
      </c>
      <c r="BE11">
        <v>0</v>
      </c>
      <c r="BF11">
        <v>6500000</v>
      </c>
      <c r="BG11">
        <v>0</v>
      </c>
      <c r="BH11">
        <v>387803</v>
      </c>
      <c r="BI11">
        <v>0</v>
      </c>
      <c r="BJ11">
        <v>0</v>
      </c>
      <c r="BK11">
        <v>0</v>
      </c>
      <c r="BL11">
        <v>776158</v>
      </c>
      <c r="BM11">
        <v>1726948</v>
      </c>
      <c r="BN11">
        <v>0</v>
      </c>
      <c r="BO11">
        <v>6337295</v>
      </c>
      <c r="BP11">
        <v>26148080</v>
      </c>
      <c r="BQ11">
        <v>0</v>
      </c>
      <c r="BR11">
        <v>367923</v>
      </c>
      <c r="BS11" s="180">
        <v>0</v>
      </c>
      <c r="BT11" s="180">
        <v>981970</v>
      </c>
      <c r="BU11" s="180">
        <v>0</v>
      </c>
      <c r="BV11" s="180">
        <v>0</v>
      </c>
      <c r="BW11" s="180">
        <v>274395</v>
      </c>
      <c r="BX11" s="180">
        <v>0</v>
      </c>
      <c r="BY11" s="180">
        <v>3830744</v>
      </c>
      <c r="BZ11" s="180">
        <v>61827</v>
      </c>
      <c r="CA11" s="180">
        <v>160000</v>
      </c>
      <c r="CB11" s="180">
        <v>0</v>
      </c>
      <c r="CC11" s="180">
        <v>385704</v>
      </c>
      <c r="CD11" s="180">
        <v>0</v>
      </c>
      <c r="CE11" s="180"/>
      <c r="CF11" s="180"/>
      <c r="CG11" s="180"/>
      <c r="CH11" s="180"/>
      <c r="CI11" s="180"/>
      <c r="CJ11" s="180"/>
      <c r="CK11" s="180"/>
      <c r="CL11" s="180"/>
      <c r="CM11" s="180"/>
      <c r="CN11" s="180"/>
      <c r="CO11" s="180"/>
      <c r="CP11" s="180"/>
      <c r="CQ11" s="180"/>
      <c r="CR11" s="180"/>
      <c r="CS11" s="180"/>
      <c r="CT11" s="180"/>
      <c r="CU11" s="180"/>
    </row>
    <row r="12" spans="1:99" x14ac:dyDescent="0.3">
      <c r="A12">
        <v>22</v>
      </c>
      <c r="B12" t="s">
        <v>203</v>
      </c>
      <c r="E12">
        <v>0</v>
      </c>
      <c r="F12">
        <v>0</v>
      </c>
      <c r="G12">
        <v>0</v>
      </c>
      <c r="H12">
        <v>0</v>
      </c>
      <c r="I12">
        <v>0</v>
      </c>
      <c r="J12">
        <v>0</v>
      </c>
      <c r="K12">
        <v>0</v>
      </c>
      <c r="L12">
        <v>0</v>
      </c>
      <c r="M12">
        <v>128342</v>
      </c>
      <c r="N12">
        <v>0</v>
      </c>
      <c r="O12">
        <v>19866</v>
      </c>
      <c r="P12">
        <v>0</v>
      </c>
      <c r="Q12">
        <v>10305</v>
      </c>
      <c r="R12">
        <v>0</v>
      </c>
      <c r="S12">
        <v>0</v>
      </c>
      <c r="T12">
        <v>7637</v>
      </c>
      <c r="U12">
        <v>0</v>
      </c>
      <c r="V12">
        <v>0</v>
      </c>
      <c r="W12">
        <v>0</v>
      </c>
      <c r="X12">
        <v>0</v>
      </c>
      <c r="Y12">
        <v>29613</v>
      </c>
      <c r="Z12">
        <v>0</v>
      </c>
      <c r="AA12">
        <v>0</v>
      </c>
      <c r="AB12">
        <v>0</v>
      </c>
      <c r="AC12">
        <v>155061</v>
      </c>
      <c r="AD12">
        <v>38124</v>
      </c>
      <c r="AF12">
        <v>0</v>
      </c>
      <c r="AG12">
        <v>0</v>
      </c>
      <c r="AH12">
        <v>0</v>
      </c>
      <c r="AI12">
        <v>1628182</v>
      </c>
      <c r="AJ12">
        <v>0</v>
      </c>
      <c r="AK12">
        <v>0</v>
      </c>
      <c r="AL12">
        <v>339155</v>
      </c>
      <c r="AM12">
        <v>0</v>
      </c>
      <c r="AN12">
        <v>0</v>
      </c>
      <c r="AO12">
        <v>0</v>
      </c>
      <c r="AP12">
        <v>0</v>
      </c>
      <c r="AQ12">
        <v>0</v>
      </c>
      <c r="AR12">
        <v>0</v>
      </c>
      <c r="AS12">
        <v>0</v>
      </c>
      <c r="AT12">
        <v>0</v>
      </c>
      <c r="AU12">
        <v>0</v>
      </c>
      <c r="AV12">
        <v>0</v>
      </c>
      <c r="AW12">
        <v>77047</v>
      </c>
      <c r="AX12">
        <v>0</v>
      </c>
      <c r="AY12">
        <v>0</v>
      </c>
      <c r="BA12">
        <v>0</v>
      </c>
      <c r="BB12">
        <v>0</v>
      </c>
      <c r="BC12">
        <v>0</v>
      </c>
      <c r="BD12">
        <v>0</v>
      </c>
      <c r="BE12">
        <v>0</v>
      </c>
      <c r="BF12">
        <v>0</v>
      </c>
      <c r="BG12">
        <v>0</v>
      </c>
      <c r="BH12">
        <v>0</v>
      </c>
      <c r="BI12">
        <v>4941</v>
      </c>
      <c r="BJ12">
        <v>0</v>
      </c>
      <c r="BK12">
        <v>0</v>
      </c>
      <c r="BL12">
        <v>0</v>
      </c>
      <c r="BM12">
        <v>81216</v>
      </c>
      <c r="BN12">
        <v>18326</v>
      </c>
      <c r="BO12">
        <v>0</v>
      </c>
      <c r="BP12">
        <v>0</v>
      </c>
      <c r="BQ12">
        <v>0</v>
      </c>
      <c r="BR12">
        <v>334579</v>
      </c>
      <c r="BS12" s="180">
        <v>0</v>
      </c>
      <c r="BT12" s="180">
        <v>128756</v>
      </c>
      <c r="BU12" s="180">
        <v>0</v>
      </c>
      <c r="BV12" s="180">
        <v>10000</v>
      </c>
      <c r="BW12" s="180">
        <v>2401</v>
      </c>
      <c r="BX12" s="180">
        <v>0</v>
      </c>
      <c r="BY12" s="180">
        <v>65258</v>
      </c>
      <c r="BZ12" s="180">
        <v>5200</v>
      </c>
      <c r="CA12" s="180">
        <v>1241</v>
      </c>
      <c r="CB12" s="180">
        <v>0</v>
      </c>
      <c r="CC12" s="180">
        <v>14066</v>
      </c>
      <c r="CD12" s="180">
        <v>0</v>
      </c>
      <c r="CE12" s="180"/>
      <c r="CF12" s="180"/>
      <c r="CG12" s="180"/>
      <c r="CH12" s="180"/>
      <c r="CI12" s="180"/>
      <c r="CJ12" s="180"/>
      <c r="CK12" s="180"/>
      <c r="CL12" s="180"/>
      <c r="CM12" s="180"/>
      <c r="CN12" s="180"/>
      <c r="CO12" s="180"/>
      <c r="CP12" s="180"/>
      <c r="CQ12" s="180"/>
      <c r="CR12" s="180"/>
      <c r="CS12" s="180"/>
      <c r="CT12" s="180"/>
      <c r="CU12" s="180"/>
    </row>
    <row r="13" spans="1:99" x14ac:dyDescent="0.3">
      <c r="A13">
        <v>23</v>
      </c>
      <c r="B13" t="s">
        <v>206</v>
      </c>
      <c r="E13">
        <v>78325</v>
      </c>
      <c r="F13">
        <v>180166</v>
      </c>
      <c r="G13">
        <v>30954</v>
      </c>
      <c r="H13">
        <v>301605</v>
      </c>
      <c r="I13">
        <v>158497</v>
      </c>
      <c r="J13">
        <v>-2812</v>
      </c>
      <c r="K13">
        <v>1853</v>
      </c>
      <c r="L13">
        <v>404721</v>
      </c>
      <c r="M13">
        <v>-1065337</v>
      </c>
      <c r="N13">
        <v>107862</v>
      </c>
      <c r="O13">
        <v>3339847</v>
      </c>
      <c r="P13">
        <v>-6379</v>
      </c>
      <c r="Q13">
        <v>5608010</v>
      </c>
      <c r="R13">
        <v>28659</v>
      </c>
      <c r="S13">
        <v>37168</v>
      </c>
      <c r="T13">
        <v>481404</v>
      </c>
      <c r="U13">
        <v>622604</v>
      </c>
      <c r="V13">
        <v>2225076</v>
      </c>
      <c r="W13">
        <v>813089</v>
      </c>
      <c r="X13">
        <v>153893</v>
      </c>
      <c r="Y13">
        <v>202</v>
      </c>
      <c r="Z13">
        <v>10158110</v>
      </c>
      <c r="AA13">
        <v>769433</v>
      </c>
      <c r="AB13">
        <v>149254</v>
      </c>
      <c r="AC13">
        <v>16373260</v>
      </c>
      <c r="AD13">
        <v>41018</v>
      </c>
      <c r="AF13">
        <v>1840826</v>
      </c>
      <c r="AG13">
        <v>116278</v>
      </c>
      <c r="AH13">
        <v>31259</v>
      </c>
      <c r="AI13">
        <v>682235</v>
      </c>
      <c r="AJ13">
        <v>-135552</v>
      </c>
      <c r="AK13">
        <v>39161</v>
      </c>
      <c r="AL13">
        <v>5933847</v>
      </c>
      <c r="AM13">
        <v>84482</v>
      </c>
      <c r="AN13">
        <v>2179596</v>
      </c>
      <c r="AO13">
        <v>56804</v>
      </c>
      <c r="AP13">
        <v>75841</v>
      </c>
      <c r="AQ13">
        <v>751783</v>
      </c>
      <c r="AR13">
        <v>6612</v>
      </c>
      <c r="AS13">
        <v>488471</v>
      </c>
      <c r="AT13">
        <v>183608</v>
      </c>
      <c r="AU13">
        <v>23893910</v>
      </c>
      <c r="AV13">
        <v>6689806</v>
      </c>
      <c r="AW13">
        <v>336176</v>
      </c>
      <c r="AX13">
        <v>86511</v>
      </c>
      <c r="AY13">
        <v>82026</v>
      </c>
      <c r="BA13">
        <v>-18932</v>
      </c>
      <c r="BB13">
        <v>211114</v>
      </c>
      <c r="BC13">
        <v>93942</v>
      </c>
      <c r="BD13">
        <v>24025</v>
      </c>
      <c r="BE13">
        <v>31283</v>
      </c>
      <c r="BF13">
        <v>1202367</v>
      </c>
      <c r="BG13">
        <v>5227</v>
      </c>
      <c r="BH13">
        <v>1245312</v>
      </c>
      <c r="BI13">
        <v>233976</v>
      </c>
      <c r="BJ13">
        <v>74604</v>
      </c>
      <c r="BK13">
        <v>15798</v>
      </c>
      <c r="BL13">
        <v>507749</v>
      </c>
      <c r="BM13">
        <v>1830785</v>
      </c>
      <c r="BN13">
        <v>146134</v>
      </c>
      <c r="BO13">
        <v>11618044</v>
      </c>
      <c r="BP13">
        <v>7451101</v>
      </c>
      <c r="BQ13">
        <v>30284</v>
      </c>
      <c r="BR13">
        <v>289150</v>
      </c>
      <c r="BS13" s="180">
        <v>508149</v>
      </c>
      <c r="BT13" s="180">
        <v>2259298</v>
      </c>
      <c r="BU13" s="180">
        <v>41561</v>
      </c>
      <c r="BV13" s="180">
        <v>4360</v>
      </c>
      <c r="BW13" s="180">
        <v>1028315</v>
      </c>
      <c r="BX13" s="180">
        <v>1172096</v>
      </c>
      <c r="BY13" s="180">
        <v>-303639</v>
      </c>
      <c r="BZ13" s="180">
        <v>-44189</v>
      </c>
      <c r="CA13" s="180">
        <v>423569</v>
      </c>
      <c r="CB13" s="180">
        <v>221792</v>
      </c>
      <c r="CC13" s="180">
        <v>368864</v>
      </c>
      <c r="CD13" s="180">
        <v>6613407</v>
      </c>
      <c r="CE13" s="180"/>
      <c r="CF13" s="180"/>
      <c r="CG13" s="180"/>
      <c r="CH13" s="180"/>
      <c r="CI13" s="180"/>
      <c r="CJ13" s="180"/>
      <c r="CK13" s="180"/>
      <c r="CL13" s="180"/>
      <c r="CM13" s="180"/>
      <c r="CN13" s="180"/>
      <c r="CO13" s="180"/>
      <c r="CP13" s="180"/>
      <c r="CQ13" s="180"/>
      <c r="CR13" s="180"/>
      <c r="CS13" s="180"/>
      <c r="CT13" s="180"/>
      <c r="CU13" s="180"/>
    </row>
    <row r="14" spans="1:99" s="556" customFormat="1" x14ac:dyDescent="0.3">
      <c r="A14">
        <v>44</v>
      </c>
      <c r="B14" t="s">
        <v>878</v>
      </c>
      <c r="C14"/>
      <c r="D14"/>
      <c r="E14">
        <v>501251</v>
      </c>
      <c r="F14">
        <v>0</v>
      </c>
      <c r="G14">
        <v>1544274</v>
      </c>
      <c r="H14">
        <v>803197</v>
      </c>
      <c r="I14">
        <v>134392</v>
      </c>
      <c r="J14">
        <v>0</v>
      </c>
      <c r="K14">
        <v>285769</v>
      </c>
      <c r="L14">
        <v>4672542</v>
      </c>
      <c r="M14">
        <v>0</v>
      </c>
      <c r="N14">
        <v>0</v>
      </c>
      <c r="O14">
        <v>0</v>
      </c>
      <c r="P14">
        <v>55670</v>
      </c>
      <c r="Q14">
        <v>3183454</v>
      </c>
      <c r="R14">
        <v>0</v>
      </c>
      <c r="S14">
        <v>434638</v>
      </c>
      <c r="T14">
        <v>1219025</v>
      </c>
      <c r="U14">
        <v>1379213</v>
      </c>
      <c r="V14">
        <v>9566167</v>
      </c>
      <c r="W14">
        <v>0</v>
      </c>
      <c r="X14">
        <v>424127</v>
      </c>
      <c r="Y14">
        <v>893683</v>
      </c>
      <c r="Z14">
        <v>58551540</v>
      </c>
      <c r="AA14">
        <v>1531571</v>
      </c>
      <c r="AB14">
        <v>761116</v>
      </c>
      <c r="AC14">
        <v>0</v>
      </c>
      <c r="AD14">
        <v>0</v>
      </c>
      <c r="AE14"/>
      <c r="AF14">
        <v>28994439</v>
      </c>
      <c r="AG14">
        <v>0</v>
      </c>
      <c r="AH14">
        <v>83014</v>
      </c>
      <c r="AI14">
        <v>2431150</v>
      </c>
      <c r="AJ14">
        <v>118916</v>
      </c>
      <c r="AK14">
        <v>221265</v>
      </c>
      <c r="AL14">
        <v>26380156</v>
      </c>
      <c r="AM14">
        <v>739605</v>
      </c>
      <c r="AN14">
        <v>14777988</v>
      </c>
      <c r="AO14">
        <v>0</v>
      </c>
      <c r="AP14">
        <v>4035420</v>
      </c>
      <c r="AQ14">
        <v>0</v>
      </c>
      <c r="AR14">
        <v>0</v>
      </c>
      <c r="AS14">
        <v>1724007</v>
      </c>
      <c r="AT14">
        <v>338213</v>
      </c>
      <c r="AU14">
        <v>71449828</v>
      </c>
      <c r="AV14">
        <v>31867797</v>
      </c>
      <c r="AW14">
        <v>695228</v>
      </c>
      <c r="AX14">
        <v>123837</v>
      </c>
      <c r="AY14">
        <v>41498</v>
      </c>
      <c r="AZ14"/>
      <c r="BA14">
        <v>-85032</v>
      </c>
      <c r="BB14">
        <v>4406830</v>
      </c>
      <c r="BC14">
        <v>390713</v>
      </c>
      <c r="BD14">
        <v>0</v>
      </c>
      <c r="BE14">
        <v>195243</v>
      </c>
      <c r="BF14">
        <v>12124590</v>
      </c>
      <c r="BG14">
        <v>0</v>
      </c>
      <c r="BH14">
        <v>11730999</v>
      </c>
      <c r="BI14">
        <v>1258259</v>
      </c>
      <c r="BJ14">
        <v>0</v>
      </c>
      <c r="BK14">
        <v>0</v>
      </c>
      <c r="BL14">
        <v>33590652</v>
      </c>
      <c r="BM14">
        <v>17293338</v>
      </c>
      <c r="BN14">
        <v>925823</v>
      </c>
      <c r="BO14">
        <v>33496568</v>
      </c>
      <c r="BP14">
        <v>50055866</v>
      </c>
      <c r="BQ14">
        <v>305762</v>
      </c>
      <c r="BR14">
        <v>809400</v>
      </c>
      <c r="BS14" s="556">
        <v>0</v>
      </c>
      <c r="BT14" s="556">
        <v>14730556</v>
      </c>
      <c r="BU14" s="556">
        <v>319405</v>
      </c>
      <c r="BV14" s="556">
        <v>22378</v>
      </c>
      <c r="BW14" s="556">
        <v>1536043</v>
      </c>
      <c r="BX14" s="556">
        <v>0</v>
      </c>
      <c r="BY14" s="556">
        <v>47324337</v>
      </c>
      <c r="BZ14" s="556">
        <v>985425</v>
      </c>
      <c r="CA14" s="556">
        <v>0</v>
      </c>
      <c r="CB14" s="556">
        <v>466695</v>
      </c>
      <c r="CC14" s="556">
        <v>0</v>
      </c>
      <c r="CD14" s="556">
        <v>0</v>
      </c>
    </row>
    <row r="15" spans="1:99" s="556" customFormat="1" x14ac:dyDescent="0.3">
      <c r="A15">
        <v>45</v>
      </c>
      <c r="B15" t="s">
        <v>879</v>
      </c>
      <c r="C15"/>
      <c r="D15"/>
      <c r="E15">
        <v>248235</v>
      </c>
      <c r="F15">
        <v>0</v>
      </c>
      <c r="G15">
        <v>42287</v>
      </c>
      <c r="H15">
        <v>172381</v>
      </c>
      <c r="I15">
        <v>16709</v>
      </c>
      <c r="J15">
        <v>0</v>
      </c>
      <c r="K15">
        <v>54458</v>
      </c>
      <c r="L15">
        <v>1143067</v>
      </c>
      <c r="M15">
        <v>0</v>
      </c>
      <c r="N15">
        <v>0</v>
      </c>
      <c r="O15">
        <v>0</v>
      </c>
      <c r="P15">
        <v>18919</v>
      </c>
      <c r="Q15">
        <v>511392</v>
      </c>
      <c r="R15">
        <v>0</v>
      </c>
      <c r="S15">
        <v>33006</v>
      </c>
      <c r="T15">
        <v>130598</v>
      </c>
      <c r="U15">
        <v>43300</v>
      </c>
      <c r="V15">
        <v>1112952</v>
      </c>
      <c r="W15">
        <v>0</v>
      </c>
      <c r="X15">
        <v>46779</v>
      </c>
      <c r="Y15">
        <v>55233</v>
      </c>
      <c r="Z15">
        <v>10703371</v>
      </c>
      <c r="AA15">
        <v>0</v>
      </c>
      <c r="AB15">
        <v>75651</v>
      </c>
      <c r="AC15">
        <v>0</v>
      </c>
      <c r="AD15">
        <v>0</v>
      </c>
      <c r="AE15"/>
      <c r="AF15">
        <v>7129068</v>
      </c>
      <c r="AG15">
        <v>0</v>
      </c>
      <c r="AH15">
        <v>3155</v>
      </c>
      <c r="AI15">
        <v>305533</v>
      </c>
      <c r="AJ15">
        <v>0</v>
      </c>
      <c r="AK15">
        <v>241708</v>
      </c>
      <c r="AL15">
        <v>3147991</v>
      </c>
      <c r="AM15">
        <v>448322</v>
      </c>
      <c r="AN15">
        <v>1453729</v>
      </c>
      <c r="AO15">
        <v>0</v>
      </c>
      <c r="AP15">
        <v>1342010</v>
      </c>
      <c r="AQ15">
        <v>0</v>
      </c>
      <c r="AR15">
        <v>0</v>
      </c>
      <c r="AS15">
        <v>599219</v>
      </c>
      <c r="AT15">
        <v>6338</v>
      </c>
      <c r="AU15">
        <v>28974888</v>
      </c>
      <c r="AV15">
        <v>10064196</v>
      </c>
      <c r="AW15">
        <v>44800</v>
      </c>
      <c r="AX15">
        <v>63146</v>
      </c>
      <c r="AY15">
        <v>54289</v>
      </c>
      <c r="AZ15"/>
      <c r="BA15">
        <v>364564</v>
      </c>
      <c r="BB15">
        <v>89291</v>
      </c>
      <c r="BC15">
        <v>12745</v>
      </c>
      <c r="BD15">
        <v>0</v>
      </c>
      <c r="BE15">
        <v>15901</v>
      </c>
      <c r="BF15">
        <v>1954593</v>
      </c>
      <c r="BG15">
        <v>0</v>
      </c>
      <c r="BH15">
        <v>519795</v>
      </c>
      <c r="BI15">
        <v>280465</v>
      </c>
      <c r="BJ15">
        <v>0</v>
      </c>
      <c r="BK15">
        <v>0</v>
      </c>
      <c r="BL15">
        <v>2420854</v>
      </c>
      <c r="BM15">
        <v>10414468</v>
      </c>
      <c r="BN15">
        <v>507195</v>
      </c>
      <c r="BO15">
        <v>8179994</v>
      </c>
      <c r="BP15">
        <v>15776399</v>
      </c>
      <c r="BQ15">
        <v>13451</v>
      </c>
      <c r="BR15">
        <v>549042</v>
      </c>
      <c r="BS15" s="556">
        <v>0</v>
      </c>
      <c r="BT15" s="556">
        <v>4703412</v>
      </c>
      <c r="BU15" s="556">
        <v>4741</v>
      </c>
      <c r="BV15" s="556">
        <v>573</v>
      </c>
      <c r="BW15" s="556">
        <v>340827</v>
      </c>
      <c r="BX15" s="556">
        <v>0</v>
      </c>
      <c r="BY15" s="556">
        <v>9490874</v>
      </c>
      <c r="BZ15" s="556">
        <v>467175</v>
      </c>
      <c r="CA15" s="556">
        <v>0</v>
      </c>
      <c r="CB15" s="556">
        <v>4316</v>
      </c>
      <c r="CC15" s="556">
        <v>0</v>
      </c>
      <c r="CD15" s="556">
        <v>0</v>
      </c>
    </row>
    <row r="16" spans="1:99" s="556" customFormat="1" x14ac:dyDescent="0.3">
      <c r="A16">
        <v>47</v>
      </c>
      <c r="B16" s="551" t="s">
        <v>880</v>
      </c>
      <c r="C16"/>
      <c r="D16"/>
      <c r="E16">
        <v>0</v>
      </c>
      <c r="F16">
        <v>0</v>
      </c>
      <c r="G16">
        <v>0</v>
      </c>
      <c r="H16">
        <v>0</v>
      </c>
      <c r="I16">
        <v>0</v>
      </c>
      <c r="J16">
        <v>0</v>
      </c>
      <c r="K16">
        <v>0</v>
      </c>
      <c r="L16">
        <v>2023390</v>
      </c>
      <c r="M16" s="551">
        <v>0</v>
      </c>
      <c r="N16">
        <v>0</v>
      </c>
      <c r="O16">
        <v>0</v>
      </c>
      <c r="P16">
        <v>0</v>
      </c>
      <c r="Q16">
        <v>4553636</v>
      </c>
      <c r="R16">
        <v>0</v>
      </c>
      <c r="S16">
        <v>1065635</v>
      </c>
      <c r="T16">
        <v>0</v>
      </c>
      <c r="U16">
        <v>0</v>
      </c>
      <c r="V16">
        <v>0</v>
      </c>
      <c r="W16">
        <v>0</v>
      </c>
      <c r="X16">
        <v>0</v>
      </c>
      <c r="Y16">
        <v>654192</v>
      </c>
      <c r="Z16">
        <v>0</v>
      </c>
      <c r="AA16">
        <v>0</v>
      </c>
      <c r="AB16">
        <v>0</v>
      </c>
      <c r="AC16">
        <v>0</v>
      </c>
      <c r="AD16">
        <v>0</v>
      </c>
      <c r="AE16"/>
      <c r="AF16">
        <v>62803288</v>
      </c>
      <c r="AG16">
        <v>0</v>
      </c>
      <c r="AH16">
        <v>0</v>
      </c>
      <c r="AI16">
        <v>0</v>
      </c>
      <c r="AJ16">
        <v>0</v>
      </c>
      <c r="AK16">
        <v>0</v>
      </c>
      <c r="AL16">
        <v>0</v>
      </c>
      <c r="AM16">
        <v>0</v>
      </c>
      <c r="AN16">
        <v>0</v>
      </c>
      <c r="AO16">
        <v>0</v>
      </c>
      <c r="AP16">
        <v>8722804</v>
      </c>
      <c r="AQ16">
        <v>0</v>
      </c>
      <c r="AR16">
        <v>0</v>
      </c>
      <c r="AS16">
        <v>0</v>
      </c>
      <c r="AT16">
        <v>0</v>
      </c>
      <c r="AU16">
        <v>0</v>
      </c>
      <c r="AV16">
        <v>71815139</v>
      </c>
      <c r="AW16">
        <v>0</v>
      </c>
      <c r="AX16">
        <v>0</v>
      </c>
      <c r="AY16">
        <v>0</v>
      </c>
      <c r="AZ16"/>
      <c r="BA16">
        <v>658266</v>
      </c>
      <c r="BB16">
        <v>0</v>
      </c>
      <c r="BC16">
        <v>0</v>
      </c>
      <c r="BD16">
        <v>0</v>
      </c>
      <c r="BE16">
        <v>0</v>
      </c>
      <c r="BF16">
        <v>0</v>
      </c>
      <c r="BG16">
        <v>0</v>
      </c>
      <c r="BH16">
        <v>0</v>
      </c>
      <c r="BI16">
        <v>0</v>
      </c>
      <c r="BJ16">
        <v>0</v>
      </c>
      <c r="BK16">
        <v>0</v>
      </c>
      <c r="BL16">
        <v>0</v>
      </c>
      <c r="BM16">
        <v>0</v>
      </c>
      <c r="BN16">
        <v>1532937</v>
      </c>
      <c r="BO16">
        <v>0</v>
      </c>
      <c r="BP16">
        <v>91285271</v>
      </c>
      <c r="BQ16">
        <v>0</v>
      </c>
      <c r="BR16">
        <v>10455403</v>
      </c>
      <c r="BS16" s="556">
        <v>0</v>
      </c>
      <c r="BT16" s="556">
        <v>0</v>
      </c>
      <c r="BU16" s="556">
        <v>405423</v>
      </c>
      <c r="BV16" s="556">
        <v>0</v>
      </c>
      <c r="BW16" s="556">
        <v>0</v>
      </c>
      <c r="BX16" s="556">
        <v>0</v>
      </c>
      <c r="BY16" s="556">
        <v>0</v>
      </c>
      <c r="BZ16" s="556">
        <v>330144</v>
      </c>
      <c r="CA16" s="556">
        <v>0</v>
      </c>
      <c r="CB16" s="556">
        <v>0</v>
      </c>
      <c r="CC16" s="556">
        <v>0</v>
      </c>
      <c r="CD16" s="556">
        <v>11841156</v>
      </c>
    </row>
    <row r="17" spans="1:99" s="556" customFormat="1" x14ac:dyDescent="0.3">
      <c r="A17">
        <v>48</v>
      </c>
      <c r="B17" s="551" t="s">
        <v>115</v>
      </c>
      <c r="C17"/>
      <c r="D17"/>
      <c r="E17">
        <v>0</v>
      </c>
      <c r="F17">
        <v>0</v>
      </c>
      <c r="G17">
        <v>0</v>
      </c>
      <c r="H17">
        <v>0</v>
      </c>
      <c r="I17">
        <v>0</v>
      </c>
      <c r="J17">
        <v>0</v>
      </c>
      <c r="K17">
        <v>0</v>
      </c>
      <c r="L17">
        <v>421466</v>
      </c>
      <c r="M17" s="551">
        <v>0</v>
      </c>
      <c r="N17">
        <v>0</v>
      </c>
      <c r="O17">
        <v>0</v>
      </c>
      <c r="P17">
        <v>0</v>
      </c>
      <c r="Q17">
        <v>296794</v>
      </c>
      <c r="R17">
        <v>0</v>
      </c>
      <c r="S17">
        <v>35305</v>
      </c>
      <c r="T17">
        <v>0</v>
      </c>
      <c r="U17">
        <v>0</v>
      </c>
      <c r="V17">
        <v>0</v>
      </c>
      <c r="W17">
        <v>0</v>
      </c>
      <c r="X17">
        <v>0</v>
      </c>
      <c r="Y17">
        <v>107183</v>
      </c>
      <c r="Z17">
        <v>0</v>
      </c>
      <c r="AA17">
        <v>0</v>
      </c>
      <c r="AB17">
        <v>0</v>
      </c>
      <c r="AC17">
        <v>0</v>
      </c>
      <c r="AD17">
        <v>0</v>
      </c>
      <c r="AE17"/>
      <c r="AF17">
        <v>6502182</v>
      </c>
      <c r="AG17">
        <v>0</v>
      </c>
      <c r="AH17">
        <v>0</v>
      </c>
      <c r="AI17">
        <v>0</v>
      </c>
      <c r="AJ17">
        <v>0</v>
      </c>
      <c r="AK17">
        <v>0</v>
      </c>
      <c r="AL17">
        <v>0</v>
      </c>
      <c r="AM17">
        <v>0</v>
      </c>
      <c r="AN17">
        <v>0</v>
      </c>
      <c r="AO17">
        <v>0</v>
      </c>
      <c r="AP17">
        <v>433455</v>
      </c>
      <c r="AQ17">
        <v>0</v>
      </c>
      <c r="AR17">
        <v>0</v>
      </c>
      <c r="AS17">
        <v>0</v>
      </c>
      <c r="AT17">
        <v>0</v>
      </c>
      <c r="AU17">
        <v>0</v>
      </c>
      <c r="AV17">
        <v>17663316</v>
      </c>
      <c r="AW17">
        <v>0</v>
      </c>
      <c r="AX17">
        <v>0</v>
      </c>
      <c r="AY17">
        <v>0</v>
      </c>
      <c r="AZ17"/>
      <c r="BA17">
        <v>31723</v>
      </c>
      <c r="BB17">
        <v>0</v>
      </c>
      <c r="BC17">
        <v>0</v>
      </c>
      <c r="BD17">
        <v>0</v>
      </c>
      <c r="BE17">
        <v>0</v>
      </c>
      <c r="BF17">
        <v>0</v>
      </c>
      <c r="BG17">
        <v>0</v>
      </c>
      <c r="BH17">
        <v>0</v>
      </c>
      <c r="BI17">
        <v>0</v>
      </c>
      <c r="BJ17">
        <v>0</v>
      </c>
      <c r="BK17">
        <v>0</v>
      </c>
      <c r="BL17">
        <v>0</v>
      </c>
      <c r="BM17">
        <v>0</v>
      </c>
      <c r="BN17">
        <v>200169</v>
      </c>
      <c r="BO17">
        <v>0</v>
      </c>
      <c r="BP17">
        <v>9609866</v>
      </c>
      <c r="BQ17">
        <v>0</v>
      </c>
      <c r="BR17">
        <v>429891</v>
      </c>
      <c r="BS17" s="556">
        <v>0</v>
      </c>
      <c r="BT17" s="556">
        <v>0</v>
      </c>
      <c r="BU17" s="556">
        <v>38316</v>
      </c>
      <c r="BV17" s="556">
        <v>0</v>
      </c>
      <c r="BW17" s="556">
        <v>0</v>
      </c>
      <c r="BX17" s="556">
        <v>0</v>
      </c>
      <c r="BY17" s="556">
        <v>0</v>
      </c>
      <c r="BZ17" s="556">
        <v>40671</v>
      </c>
      <c r="CA17" s="556">
        <v>0</v>
      </c>
      <c r="CB17" s="556">
        <v>0</v>
      </c>
      <c r="CC17" s="556">
        <v>0</v>
      </c>
      <c r="CD17" s="556">
        <v>2659866</v>
      </c>
    </row>
    <row r="18" spans="1:99" x14ac:dyDescent="0.3">
      <c r="A18">
        <v>49</v>
      </c>
      <c r="B18" t="s">
        <v>219</v>
      </c>
      <c r="E18">
        <v>313494</v>
      </c>
      <c r="F18">
        <v>0</v>
      </c>
      <c r="G18">
        <v>445058</v>
      </c>
      <c r="H18">
        <v>200615</v>
      </c>
      <c r="I18">
        <v>24862</v>
      </c>
      <c r="J18">
        <v>0</v>
      </c>
      <c r="K18">
        <v>151581</v>
      </c>
      <c r="L18">
        <v>1127994</v>
      </c>
      <c r="M18">
        <v>0</v>
      </c>
      <c r="N18">
        <v>0</v>
      </c>
      <c r="O18">
        <v>0</v>
      </c>
      <c r="P18">
        <v>136246</v>
      </c>
      <c r="Q18">
        <v>1509107</v>
      </c>
      <c r="R18">
        <v>0</v>
      </c>
      <c r="S18">
        <v>141411</v>
      </c>
      <c r="T18">
        <v>107343</v>
      </c>
      <c r="U18">
        <v>60681</v>
      </c>
      <c r="V18">
        <v>771331</v>
      </c>
      <c r="W18">
        <v>0</v>
      </c>
      <c r="X18">
        <v>209732</v>
      </c>
      <c r="Y18">
        <v>327915</v>
      </c>
      <c r="Z18">
        <v>5689328</v>
      </c>
      <c r="AA18">
        <v>69505</v>
      </c>
      <c r="AB18">
        <v>98367</v>
      </c>
      <c r="AC18">
        <v>0</v>
      </c>
      <c r="AD18">
        <v>0</v>
      </c>
      <c r="AF18">
        <v>8549670</v>
      </c>
      <c r="AG18">
        <v>0</v>
      </c>
      <c r="AH18">
        <v>46123</v>
      </c>
      <c r="AI18">
        <v>134679</v>
      </c>
      <c r="AJ18">
        <v>71782</v>
      </c>
      <c r="AK18">
        <v>5375</v>
      </c>
      <c r="AL18">
        <v>4974400</v>
      </c>
      <c r="AM18">
        <v>191261</v>
      </c>
      <c r="AN18">
        <v>1154275</v>
      </c>
      <c r="AO18">
        <v>0</v>
      </c>
      <c r="AP18">
        <v>748614</v>
      </c>
      <c r="AQ18">
        <v>0</v>
      </c>
      <c r="AR18">
        <v>0</v>
      </c>
      <c r="AS18">
        <v>144114</v>
      </c>
      <c r="AT18">
        <v>149259</v>
      </c>
      <c r="AU18">
        <v>34201333</v>
      </c>
      <c r="AV18">
        <v>14410732</v>
      </c>
      <c r="AW18">
        <v>156216</v>
      </c>
      <c r="AX18">
        <v>163182</v>
      </c>
      <c r="AY18">
        <v>95332</v>
      </c>
      <c r="BA18">
        <v>84680</v>
      </c>
      <c r="BB18">
        <v>607511</v>
      </c>
      <c r="BC18">
        <v>140536</v>
      </c>
      <c r="BD18">
        <v>0</v>
      </c>
      <c r="BE18">
        <v>46235</v>
      </c>
      <c r="BF18">
        <v>1882775</v>
      </c>
      <c r="BG18">
        <v>0</v>
      </c>
      <c r="BH18">
        <v>1296032</v>
      </c>
      <c r="BI18">
        <v>192814</v>
      </c>
      <c r="BJ18">
        <v>0</v>
      </c>
      <c r="BK18">
        <v>0</v>
      </c>
      <c r="BL18">
        <v>2446794</v>
      </c>
      <c r="BM18">
        <v>4217802</v>
      </c>
      <c r="BN18">
        <v>796024</v>
      </c>
      <c r="BO18">
        <v>5766256</v>
      </c>
      <c r="BP18">
        <v>15170810</v>
      </c>
      <c r="BQ18">
        <v>90513</v>
      </c>
      <c r="BR18">
        <v>993315</v>
      </c>
      <c r="BS18" s="180">
        <v>0</v>
      </c>
      <c r="BT18" s="180">
        <v>2087715</v>
      </c>
      <c r="BU18" s="180">
        <v>141093</v>
      </c>
      <c r="BV18" s="180">
        <v>57675</v>
      </c>
      <c r="BW18" s="180">
        <v>633325</v>
      </c>
      <c r="BX18" s="180">
        <v>0</v>
      </c>
      <c r="BY18" s="180">
        <v>4796221</v>
      </c>
      <c r="BZ18" s="180">
        <v>53464</v>
      </c>
      <c r="CA18" s="180">
        <v>0</v>
      </c>
      <c r="CB18" s="180">
        <v>29852</v>
      </c>
      <c r="CC18" s="180">
        <v>0</v>
      </c>
      <c r="CD18" s="180">
        <v>0</v>
      </c>
      <c r="CE18" s="180"/>
      <c r="CF18" s="180"/>
      <c r="CG18" s="180"/>
      <c r="CH18" s="180"/>
      <c r="CI18" s="180"/>
      <c r="CJ18" s="180"/>
      <c r="CK18" s="180"/>
      <c r="CL18" s="180"/>
      <c r="CM18" s="180"/>
      <c r="CN18" s="180"/>
      <c r="CO18" s="180"/>
      <c r="CP18" s="180"/>
      <c r="CQ18" s="180"/>
      <c r="CR18" s="180"/>
      <c r="CS18" s="180"/>
      <c r="CT18" s="180"/>
      <c r="CU18" s="180"/>
    </row>
    <row r="19" spans="1:99" x14ac:dyDescent="0.3">
      <c r="A19">
        <v>50</v>
      </c>
      <c r="B19" t="s">
        <v>92</v>
      </c>
      <c r="E19">
        <v>88446</v>
      </c>
      <c r="F19">
        <v>0</v>
      </c>
      <c r="G19">
        <v>25325</v>
      </c>
      <c r="H19">
        <v>51844</v>
      </c>
      <c r="I19">
        <v>-28164</v>
      </c>
      <c r="J19">
        <v>0</v>
      </c>
      <c r="K19">
        <v>-86740</v>
      </c>
      <c r="L19">
        <v>255821</v>
      </c>
      <c r="M19">
        <v>0</v>
      </c>
      <c r="N19">
        <v>0</v>
      </c>
      <c r="O19">
        <v>0</v>
      </c>
      <c r="P19">
        <v>-103306</v>
      </c>
      <c r="Q19">
        <v>-470900</v>
      </c>
      <c r="R19">
        <v>0</v>
      </c>
      <c r="S19">
        <v>356244</v>
      </c>
      <c r="T19">
        <v>254076</v>
      </c>
      <c r="U19">
        <v>82489</v>
      </c>
      <c r="V19">
        <v>1823869</v>
      </c>
      <c r="W19">
        <v>0</v>
      </c>
      <c r="X19">
        <v>-119550</v>
      </c>
      <c r="Y19">
        <v>94040</v>
      </c>
      <c r="Z19">
        <v>14382245</v>
      </c>
      <c r="AA19">
        <v>214916</v>
      </c>
      <c r="AB19">
        <v>-104615</v>
      </c>
      <c r="AC19">
        <v>0</v>
      </c>
      <c r="AD19">
        <v>0</v>
      </c>
      <c r="AF19">
        <v>7191870</v>
      </c>
      <c r="AG19">
        <v>0</v>
      </c>
      <c r="AH19">
        <v>-33759</v>
      </c>
      <c r="AI19">
        <v>1658241</v>
      </c>
      <c r="AJ19">
        <v>-57499</v>
      </c>
      <c r="AK19">
        <v>883414</v>
      </c>
      <c r="AL19">
        <v>7905177</v>
      </c>
      <c r="AM19">
        <v>1241957</v>
      </c>
      <c r="AN19">
        <v>12381910</v>
      </c>
      <c r="AO19">
        <v>0</v>
      </c>
      <c r="AP19">
        <v>502878</v>
      </c>
      <c r="AQ19">
        <v>0</v>
      </c>
      <c r="AR19">
        <v>0</v>
      </c>
      <c r="AS19">
        <v>484623</v>
      </c>
      <c r="AT19">
        <v>-41315</v>
      </c>
      <c r="AU19">
        <v>22051902</v>
      </c>
      <c r="AV19">
        <v>4557399</v>
      </c>
      <c r="AW19">
        <v>664020</v>
      </c>
      <c r="AX19">
        <v>-132819</v>
      </c>
      <c r="AY19">
        <v>53736</v>
      </c>
      <c r="BA19">
        <v>15869</v>
      </c>
      <c r="BB19">
        <v>-220006</v>
      </c>
      <c r="BC19">
        <v>-53813</v>
      </c>
      <c r="BD19">
        <v>0</v>
      </c>
      <c r="BE19">
        <v>141623</v>
      </c>
      <c r="BF19">
        <v>1772625</v>
      </c>
      <c r="BG19">
        <v>0</v>
      </c>
      <c r="BH19">
        <v>1407908</v>
      </c>
      <c r="BI19">
        <v>35657</v>
      </c>
      <c r="BJ19">
        <v>0</v>
      </c>
      <c r="BK19">
        <v>0</v>
      </c>
      <c r="BL19">
        <v>3222927</v>
      </c>
      <c r="BM19">
        <v>1180658</v>
      </c>
      <c r="BN19">
        <v>161922</v>
      </c>
      <c r="BO19">
        <v>5131462</v>
      </c>
      <c r="BP19">
        <v>7545839</v>
      </c>
      <c r="BQ19">
        <v>1521296</v>
      </c>
      <c r="BR19">
        <v>-741471</v>
      </c>
      <c r="BS19" s="180">
        <v>0</v>
      </c>
      <c r="BT19" s="180">
        <v>1353845</v>
      </c>
      <c r="BU19" s="180">
        <v>-82826</v>
      </c>
      <c r="BV19" s="180">
        <v>-26085</v>
      </c>
      <c r="BW19" s="180">
        <v>138055</v>
      </c>
      <c r="BX19" s="180">
        <v>0</v>
      </c>
      <c r="BY19" s="180">
        <v>12840257</v>
      </c>
      <c r="BZ19" s="180">
        <v>1274823</v>
      </c>
      <c r="CA19" s="180">
        <v>0</v>
      </c>
      <c r="CB19" s="180">
        <v>281919</v>
      </c>
      <c r="CC19" s="180">
        <v>0</v>
      </c>
      <c r="CD19" s="180">
        <v>0</v>
      </c>
      <c r="CE19" s="180"/>
      <c r="CF19" s="180"/>
      <c r="CG19" s="180"/>
      <c r="CH19" s="180"/>
      <c r="CI19" s="180"/>
      <c r="CJ19" s="180"/>
      <c r="CK19" s="180"/>
      <c r="CL19" s="180"/>
      <c r="CM19" s="180"/>
      <c r="CN19" s="180"/>
      <c r="CO19" s="180"/>
      <c r="CP19" s="180"/>
      <c r="CQ19" s="180"/>
      <c r="CR19" s="180"/>
      <c r="CS19" s="180"/>
      <c r="CT19" s="180"/>
      <c r="CU19" s="180"/>
    </row>
    <row r="20" spans="1:99" x14ac:dyDescent="0.3">
      <c r="A20">
        <v>51</v>
      </c>
      <c r="B20" t="s">
        <v>237</v>
      </c>
      <c r="E20">
        <v>220345</v>
      </c>
      <c r="F20">
        <v>0</v>
      </c>
      <c r="G20">
        <v>153784</v>
      </c>
      <c r="H20">
        <v>216952</v>
      </c>
      <c r="I20">
        <v>-601</v>
      </c>
      <c r="J20">
        <v>0</v>
      </c>
      <c r="K20">
        <v>48321</v>
      </c>
      <c r="L20">
        <v>1390149</v>
      </c>
      <c r="M20">
        <v>0</v>
      </c>
      <c r="N20">
        <v>0</v>
      </c>
      <c r="O20">
        <v>0</v>
      </c>
      <c r="P20">
        <v>36080</v>
      </c>
      <c r="Q20">
        <v>1035933</v>
      </c>
      <c r="R20">
        <v>0</v>
      </c>
      <c r="S20">
        <v>17159</v>
      </c>
      <c r="T20">
        <v>47272</v>
      </c>
      <c r="U20">
        <v>123956</v>
      </c>
      <c r="V20">
        <v>2280862</v>
      </c>
      <c r="W20">
        <v>0</v>
      </c>
      <c r="X20">
        <v>94514</v>
      </c>
      <c r="Y20">
        <v>455064</v>
      </c>
      <c r="Z20">
        <v>12612279</v>
      </c>
      <c r="AA20">
        <v>19185</v>
      </c>
      <c r="AB20">
        <v>9734</v>
      </c>
      <c r="AC20">
        <v>0</v>
      </c>
      <c r="AD20">
        <v>0</v>
      </c>
      <c r="AF20">
        <v>12429721</v>
      </c>
      <c r="AG20">
        <v>0</v>
      </c>
      <c r="AH20">
        <v>-14838</v>
      </c>
      <c r="AI20">
        <v>41001</v>
      </c>
      <c r="AJ20">
        <v>9288</v>
      </c>
      <c r="AK20">
        <v>261462</v>
      </c>
      <c r="AL20">
        <v>12390601</v>
      </c>
      <c r="AM20">
        <v>38961</v>
      </c>
      <c r="AN20">
        <v>4199938</v>
      </c>
      <c r="AO20">
        <v>0</v>
      </c>
      <c r="AP20">
        <v>519025</v>
      </c>
      <c r="AQ20">
        <v>0</v>
      </c>
      <c r="AR20">
        <v>0</v>
      </c>
      <c r="AS20">
        <v>207044</v>
      </c>
      <c r="AT20">
        <v>85048</v>
      </c>
      <c r="AU20">
        <v>58054655</v>
      </c>
      <c r="AV20">
        <v>12892813</v>
      </c>
      <c r="AW20">
        <v>-25780</v>
      </c>
      <c r="AX20">
        <v>38200</v>
      </c>
      <c r="AY20">
        <v>-145797</v>
      </c>
      <c r="BA20">
        <v>70646</v>
      </c>
      <c r="BB20">
        <v>-91368</v>
      </c>
      <c r="BC20">
        <v>-2708</v>
      </c>
      <c r="BD20">
        <v>0</v>
      </c>
      <c r="BE20">
        <v>49364</v>
      </c>
      <c r="BF20">
        <v>3825541</v>
      </c>
      <c r="BG20">
        <v>0</v>
      </c>
      <c r="BH20">
        <v>1884159</v>
      </c>
      <c r="BI20">
        <v>286530</v>
      </c>
      <c r="BJ20">
        <v>0</v>
      </c>
      <c r="BK20">
        <v>0</v>
      </c>
      <c r="BL20">
        <v>5829951</v>
      </c>
      <c r="BM20">
        <v>7520046</v>
      </c>
      <c r="BN20">
        <v>849040</v>
      </c>
      <c r="BO20">
        <v>16873717</v>
      </c>
      <c r="BP20">
        <v>27535945</v>
      </c>
      <c r="BQ20">
        <v>20747</v>
      </c>
      <c r="BR20">
        <v>377222</v>
      </c>
      <c r="BS20" s="180">
        <v>0</v>
      </c>
      <c r="BT20" s="180">
        <v>0</v>
      </c>
      <c r="BU20" s="180">
        <v>-3879</v>
      </c>
      <c r="BV20" s="180">
        <v>-25831</v>
      </c>
      <c r="BW20" s="180">
        <v>83603</v>
      </c>
      <c r="BX20" s="180">
        <v>0</v>
      </c>
      <c r="BY20" s="180">
        <v>1598990</v>
      </c>
      <c r="BZ20" s="180">
        <v>-90830</v>
      </c>
      <c r="CA20" s="180">
        <v>0</v>
      </c>
      <c r="CB20" s="180">
        <v>29514</v>
      </c>
      <c r="CC20" s="180">
        <v>0</v>
      </c>
      <c r="CD20" s="180">
        <v>0</v>
      </c>
      <c r="CE20" s="180"/>
      <c r="CF20" s="180"/>
      <c r="CG20" s="180"/>
      <c r="CH20" s="180"/>
      <c r="CI20" s="180"/>
      <c r="CJ20" s="180"/>
      <c r="CK20" s="180"/>
      <c r="CL20" s="180"/>
      <c r="CM20" s="180"/>
      <c r="CN20" s="180"/>
      <c r="CO20" s="180"/>
      <c r="CP20" s="180"/>
      <c r="CQ20" s="180"/>
      <c r="CR20" s="180"/>
      <c r="CS20" s="180"/>
      <c r="CT20" s="180"/>
      <c r="CU20" s="180"/>
    </row>
    <row r="21" spans="1:99" x14ac:dyDescent="0.3">
      <c r="A21">
        <v>52</v>
      </c>
      <c r="B21" s="551" t="s">
        <v>230</v>
      </c>
      <c r="E21">
        <v>0</v>
      </c>
      <c r="F21">
        <v>0</v>
      </c>
      <c r="G21">
        <v>0</v>
      </c>
      <c r="H21">
        <v>0</v>
      </c>
      <c r="I21">
        <v>0</v>
      </c>
      <c r="J21">
        <v>0</v>
      </c>
      <c r="K21">
        <v>0</v>
      </c>
      <c r="L21">
        <v>212315</v>
      </c>
      <c r="M21" s="551">
        <v>0</v>
      </c>
      <c r="N21">
        <v>0</v>
      </c>
      <c r="O21">
        <v>0</v>
      </c>
      <c r="P21">
        <v>0</v>
      </c>
      <c r="Q21">
        <v>365810</v>
      </c>
      <c r="R21">
        <v>0</v>
      </c>
      <c r="S21">
        <v>14684</v>
      </c>
      <c r="T21">
        <v>0</v>
      </c>
      <c r="U21">
        <v>0</v>
      </c>
      <c r="V21">
        <v>0</v>
      </c>
      <c r="W21">
        <v>0</v>
      </c>
      <c r="X21">
        <v>0</v>
      </c>
      <c r="Y21">
        <v>5184</v>
      </c>
      <c r="Z21">
        <v>0</v>
      </c>
      <c r="AA21">
        <v>0</v>
      </c>
      <c r="AB21">
        <v>0</v>
      </c>
      <c r="AC21">
        <v>0</v>
      </c>
      <c r="AD21">
        <v>0</v>
      </c>
      <c r="AF21">
        <v>2615679</v>
      </c>
      <c r="AG21">
        <v>0</v>
      </c>
      <c r="AH21">
        <v>0</v>
      </c>
      <c r="AI21">
        <v>0</v>
      </c>
      <c r="AJ21">
        <v>0</v>
      </c>
      <c r="AK21">
        <v>0</v>
      </c>
      <c r="AL21">
        <v>0</v>
      </c>
      <c r="AM21">
        <v>0</v>
      </c>
      <c r="AN21">
        <v>0</v>
      </c>
      <c r="AO21">
        <v>0</v>
      </c>
      <c r="AP21">
        <v>295608</v>
      </c>
      <c r="AQ21">
        <v>0</v>
      </c>
      <c r="AR21">
        <v>0</v>
      </c>
      <c r="AS21">
        <v>0</v>
      </c>
      <c r="AT21">
        <v>0</v>
      </c>
      <c r="AU21">
        <v>0</v>
      </c>
      <c r="AV21">
        <v>13227844</v>
      </c>
      <c r="AW21">
        <v>0</v>
      </c>
      <c r="AX21">
        <v>0</v>
      </c>
      <c r="AY21">
        <v>0</v>
      </c>
      <c r="BA21">
        <v>4882</v>
      </c>
      <c r="BB21">
        <v>0</v>
      </c>
      <c r="BC21">
        <v>0</v>
      </c>
      <c r="BD21">
        <v>0</v>
      </c>
      <c r="BE21">
        <v>0</v>
      </c>
      <c r="BF21">
        <v>0</v>
      </c>
      <c r="BG21">
        <v>0</v>
      </c>
      <c r="BH21">
        <v>0</v>
      </c>
      <c r="BI21">
        <v>0</v>
      </c>
      <c r="BJ21">
        <v>0</v>
      </c>
      <c r="BK21">
        <v>0</v>
      </c>
      <c r="BL21">
        <v>0</v>
      </c>
      <c r="BM21">
        <v>0</v>
      </c>
      <c r="BN21">
        <v>101046</v>
      </c>
      <c r="BO21">
        <v>0</v>
      </c>
      <c r="BP21">
        <v>3505217</v>
      </c>
      <c r="BQ21">
        <v>0</v>
      </c>
      <c r="BR21">
        <v>118684</v>
      </c>
      <c r="BS21" s="180">
        <v>0</v>
      </c>
      <c r="BT21" s="180">
        <v>0</v>
      </c>
      <c r="BU21" s="180">
        <v>13024</v>
      </c>
      <c r="BV21" s="180">
        <v>0</v>
      </c>
      <c r="BW21" s="180">
        <v>0</v>
      </c>
      <c r="BX21" s="180">
        <v>0</v>
      </c>
      <c r="BY21" s="180">
        <v>0</v>
      </c>
      <c r="BZ21" s="180">
        <v>37416</v>
      </c>
      <c r="CA21" s="180">
        <v>0</v>
      </c>
      <c r="CB21" s="180">
        <v>0</v>
      </c>
      <c r="CC21" s="180">
        <v>0</v>
      </c>
      <c r="CD21" s="180">
        <v>1490951</v>
      </c>
      <c r="CE21" s="180"/>
      <c r="CF21" s="180"/>
      <c r="CG21" s="180"/>
      <c r="CH21" s="180"/>
      <c r="CI21" s="180"/>
      <c r="CJ21" s="180"/>
      <c r="CK21" s="180"/>
      <c r="CL21" s="180"/>
      <c r="CM21" s="180"/>
      <c r="CN21" s="180"/>
      <c r="CO21" s="180"/>
      <c r="CP21" s="180"/>
      <c r="CQ21" s="180"/>
      <c r="CR21" s="180"/>
      <c r="CS21" s="180"/>
      <c r="CT21" s="180"/>
      <c r="CU21" s="180"/>
    </row>
    <row r="22" spans="1:99" x14ac:dyDescent="0.3">
      <c r="A22">
        <v>53</v>
      </c>
      <c r="B22" s="551" t="s">
        <v>93</v>
      </c>
      <c r="E22">
        <v>0</v>
      </c>
      <c r="F22">
        <v>0</v>
      </c>
      <c r="G22">
        <v>0</v>
      </c>
      <c r="H22">
        <v>0</v>
      </c>
      <c r="I22">
        <v>0</v>
      </c>
      <c r="J22">
        <v>0</v>
      </c>
      <c r="K22">
        <v>0</v>
      </c>
      <c r="L22">
        <v>254968</v>
      </c>
      <c r="M22" s="551">
        <v>0</v>
      </c>
      <c r="N22">
        <v>0</v>
      </c>
      <c r="O22">
        <v>0</v>
      </c>
      <c r="P22">
        <v>0</v>
      </c>
      <c r="Q22">
        <v>1394764</v>
      </c>
      <c r="R22">
        <v>0</v>
      </c>
      <c r="S22">
        <v>4630</v>
      </c>
      <c r="T22">
        <v>0</v>
      </c>
      <c r="U22">
        <v>0</v>
      </c>
      <c r="V22">
        <v>0</v>
      </c>
      <c r="W22">
        <v>0</v>
      </c>
      <c r="X22">
        <v>0</v>
      </c>
      <c r="Y22">
        <v>162552</v>
      </c>
      <c r="Z22">
        <v>0</v>
      </c>
      <c r="AA22">
        <v>0</v>
      </c>
      <c r="AB22">
        <v>0</v>
      </c>
      <c r="AC22">
        <v>0</v>
      </c>
      <c r="AD22">
        <v>0</v>
      </c>
      <c r="AF22">
        <v>10843538</v>
      </c>
      <c r="AG22">
        <v>0</v>
      </c>
      <c r="AH22">
        <v>0</v>
      </c>
      <c r="AI22">
        <v>0</v>
      </c>
      <c r="AJ22">
        <v>0</v>
      </c>
      <c r="AK22">
        <v>0</v>
      </c>
      <c r="AL22">
        <v>0</v>
      </c>
      <c r="AM22">
        <v>0</v>
      </c>
      <c r="AN22">
        <v>0</v>
      </c>
      <c r="AO22">
        <v>0</v>
      </c>
      <c r="AP22">
        <v>625121</v>
      </c>
      <c r="AQ22">
        <v>0</v>
      </c>
      <c r="AR22">
        <v>0</v>
      </c>
      <c r="AS22">
        <v>0</v>
      </c>
      <c r="AT22">
        <v>0</v>
      </c>
      <c r="AU22">
        <v>0</v>
      </c>
      <c r="AV22">
        <v>-3995844</v>
      </c>
      <c r="AW22">
        <v>0</v>
      </c>
      <c r="AX22">
        <v>0</v>
      </c>
      <c r="AY22">
        <v>0</v>
      </c>
      <c r="BA22">
        <v>111424</v>
      </c>
      <c r="BB22">
        <v>0</v>
      </c>
      <c r="BC22">
        <v>0</v>
      </c>
      <c r="BD22">
        <v>0</v>
      </c>
      <c r="BE22">
        <v>0</v>
      </c>
      <c r="BF22">
        <v>0</v>
      </c>
      <c r="BG22">
        <v>0</v>
      </c>
      <c r="BH22">
        <v>0</v>
      </c>
      <c r="BI22">
        <v>0</v>
      </c>
      <c r="BJ22">
        <v>0</v>
      </c>
      <c r="BK22">
        <v>0</v>
      </c>
      <c r="BL22">
        <v>0</v>
      </c>
      <c r="BM22">
        <v>0</v>
      </c>
      <c r="BN22">
        <v>-64187</v>
      </c>
      <c r="BO22">
        <v>0</v>
      </c>
      <c r="BP22">
        <v>8161402</v>
      </c>
      <c r="BQ22">
        <v>0</v>
      </c>
      <c r="BR22">
        <v>1083059</v>
      </c>
      <c r="BS22" s="180">
        <v>0</v>
      </c>
      <c r="BT22" s="180">
        <v>0</v>
      </c>
      <c r="BU22" s="180">
        <v>-18452</v>
      </c>
      <c r="BV22" s="180">
        <v>0</v>
      </c>
      <c r="BW22" s="180">
        <v>0</v>
      </c>
      <c r="BX22" s="180">
        <v>0</v>
      </c>
      <c r="BY22" s="180">
        <v>0</v>
      </c>
      <c r="BZ22" s="180">
        <v>-46781</v>
      </c>
      <c r="CA22" s="180">
        <v>0</v>
      </c>
      <c r="CB22" s="180">
        <v>0</v>
      </c>
      <c r="CC22" s="180">
        <v>0</v>
      </c>
      <c r="CD22" s="180">
        <v>3674888</v>
      </c>
      <c r="CE22" s="180"/>
      <c r="CF22" s="180"/>
      <c r="CG22" s="180"/>
      <c r="CH22" s="180"/>
      <c r="CI22" s="180"/>
      <c r="CJ22" s="180"/>
      <c r="CK22" s="180"/>
      <c r="CL22" s="180"/>
      <c r="CM22" s="180"/>
      <c r="CN22" s="180"/>
      <c r="CO22" s="180"/>
      <c r="CP22" s="180"/>
      <c r="CQ22" s="180"/>
      <c r="CR22" s="180"/>
      <c r="CS22" s="180"/>
      <c r="CT22" s="180"/>
      <c r="CU22" s="180"/>
    </row>
    <row r="23" spans="1:99" x14ac:dyDescent="0.3">
      <c r="A23">
        <v>55</v>
      </c>
      <c r="B23" s="551" t="s">
        <v>240</v>
      </c>
      <c r="E23">
        <v>0</v>
      </c>
      <c r="F23">
        <v>0</v>
      </c>
      <c r="G23">
        <v>0</v>
      </c>
      <c r="H23">
        <v>0</v>
      </c>
      <c r="I23">
        <v>0</v>
      </c>
      <c r="J23">
        <v>0</v>
      </c>
      <c r="K23">
        <v>0</v>
      </c>
      <c r="L23">
        <v>869056</v>
      </c>
      <c r="M23" s="551">
        <v>0</v>
      </c>
      <c r="N23">
        <v>0</v>
      </c>
      <c r="O23">
        <v>0</v>
      </c>
      <c r="P23">
        <v>0</v>
      </c>
      <c r="Q23">
        <v>2075320</v>
      </c>
      <c r="R23">
        <v>0</v>
      </c>
      <c r="S23">
        <v>-29179</v>
      </c>
      <c r="T23">
        <v>0</v>
      </c>
      <c r="U23">
        <v>0</v>
      </c>
      <c r="V23">
        <v>0</v>
      </c>
      <c r="W23">
        <v>0</v>
      </c>
      <c r="X23">
        <v>0</v>
      </c>
      <c r="Y23">
        <v>5738</v>
      </c>
      <c r="Z23">
        <v>0</v>
      </c>
      <c r="AA23">
        <v>0</v>
      </c>
      <c r="AB23">
        <v>0</v>
      </c>
      <c r="AC23">
        <v>0</v>
      </c>
      <c r="AD23">
        <v>0</v>
      </c>
      <c r="AF23">
        <v>15056894</v>
      </c>
      <c r="AG23">
        <v>0</v>
      </c>
      <c r="AH23">
        <v>0</v>
      </c>
      <c r="AI23">
        <v>0</v>
      </c>
      <c r="AJ23">
        <v>0</v>
      </c>
      <c r="AK23">
        <v>0</v>
      </c>
      <c r="AL23">
        <v>0</v>
      </c>
      <c r="AM23">
        <v>0</v>
      </c>
      <c r="AN23">
        <v>0</v>
      </c>
      <c r="AO23">
        <v>0</v>
      </c>
      <c r="AP23">
        <v>531149</v>
      </c>
      <c r="AQ23">
        <v>0</v>
      </c>
      <c r="AR23">
        <v>0</v>
      </c>
      <c r="AS23">
        <v>0</v>
      </c>
      <c r="AT23">
        <v>0</v>
      </c>
      <c r="AU23">
        <v>0</v>
      </c>
      <c r="AV23">
        <v>12944025</v>
      </c>
      <c r="AW23">
        <v>0</v>
      </c>
      <c r="AX23">
        <v>0</v>
      </c>
      <c r="AY23">
        <v>0</v>
      </c>
      <c r="BA23">
        <v>139559</v>
      </c>
      <c r="BB23">
        <v>0</v>
      </c>
      <c r="BC23">
        <v>0</v>
      </c>
      <c r="BD23">
        <v>0</v>
      </c>
      <c r="BE23">
        <v>0</v>
      </c>
      <c r="BF23">
        <v>0</v>
      </c>
      <c r="BG23">
        <v>0</v>
      </c>
      <c r="BH23">
        <v>0</v>
      </c>
      <c r="BI23">
        <v>0</v>
      </c>
      <c r="BJ23">
        <v>0</v>
      </c>
      <c r="BK23">
        <v>0</v>
      </c>
      <c r="BL23">
        <v>0</v>
      </c>
      <c r="BM23">
        <v>0</v>
      </c>
      <c r="BN23">
        <v>86617</v>
      </c>
      <c r="BO23">
        <v>0</v>
      </c>
      <c r="BP23">
        <v>10050198</v>
      </c>
      <c r="BQ23">
        <v>0</v>
      </c>
      <c r="BR23">
        <v>1180622</v>
      </c>
      <c r="BS23" s="180">
        <v>0</v>
      </c>
      <c r="BT23" s="180">
        <v>0</v>
      </c>
      <c r="BU23" s="180">
        <v>-11448</v>
      </c>
      <c r="BV23" s="180">
        <v>0</v>
      </c>
      <c r="BW23" s="180">
        <v>0</v>
      </c>
      <c r="BX23" s="180">
        <v>0</v>
      </c>
      <c r="BY23" s="180">
        <v>0</v>
      </c>
      <c r="BZ23" s="180">
        <v>-6573</v>
      </c>
      <c r="CA23" s="180">
        <v>0</v>
      </c>
      <c r="CB23" s="180">
        <v>0</v>
      </c>
      <c r="CC23" s="180">
        <v>0</v>
      </c>
      <c r="CD23" s="180">
        <v>5825941</v>
      </c>
      <c r="CE23" s="180"/>
      <c r="CF23" s="180"/>
      <c r="CG23" s="180"/>
      <c r="CH23" s="180"/>
      <c r="CI23" s="180"/>
      <c r="CJ23" s="180"/>
      <c r="CK23" s="180"/>
      <c r="CL23" s="180"/>
      <c r="CM23" s="180"/>
      <c r="CN23" s="180"/>
      <c r="CO23" s="180"/>
      <c r="CP23" s="180"/>
      <c r="CQ23" s="180"/>
      <c r="CR23" s="180"/>
      <c r="CS23" s="180"/>
      <c r="CT23" s="180"/>
      <c r="CU23" s="180"/>
    </row>
    <row r="24" spans="1:99" x14ac:dyDescent="0.3">
      <c r="A24">
        <v>61</v>
      </c>
      <c r="B24" t="s">
        <v>254</v>
      </c>
      <c r="E24">
        <v>91.19</v>
      </c>
      <c r="F24">
        <v>99.8</v>
      </c>
      <c r="G24">
        <v>99.82</v>
      </c>
      <c r="H24">
        <v>98.74</v>
      </c>
      <c r="I24">
        <v>100</v>
      </c>
      <c r="J24">
        <v>99.92</v>
      </c>
      <c r="K24">
        <v>97.46</v>
      </c>
      <c r="L24">
        <v>99.05</v>
      </c>
      <c r="M24">
        <v>99.56</v>
      </c>
      <c r="N24">
        <v>100</v>
      </c>
      <c r="O24">
        <v>99.79</v>
      </c>
      <c r="P24">
        <v>86.74</v>
      </c>
      <c r="Q24">
        <v>99.34</v>
      </c>
      <c r="R24">
        <v>93.84</v>
      </c>
      <c r="S24">
        <v>97.05</v>
      </c>
      <c r="T24">
        <v>99.96</v>
      </c>
      <c r="U24">
        <v>99.35</v>
      </c>
      <c r="V24">
        <v>97.52</v>
      </c>
      <c r="W24">
        <v>100</v>
      </c>
      <c r="X24">
        <v>98.87</v>
      </c>
      <c r="Y24">
        <v>96</v>
      </c>
      <c r="Z24">
        <v>99.81</v>
      </c>
      <c r="AA24">
        <v>0</v>
      </c>
      <c r="AB24">
        <v>94.27</v>
      </c>
      <c r="AC24">
        <v>99.75</v>
      </c>
      <c r="AD24">
        <v>96.59</v>
      </c>
      <c r="AF24">
        <v>99.07</v>
      </c>
      <c r="AG24">
        <v>98.92</v>
      </c>
      <c r="AH24">
        <v>95.46</v>
      </c>
      <c r="AI24">
        <v>99.28</v>
      </c>
      <c r="AJ24">
        <v>99.29</v>
      </c>
      <c r="AK24">
        <v>98.19</v>
      </c>
      <c r="AL24">
        <v>98.79</v>
      </c>
      <c r="AM24">
        <v>93.59</v>
      </c>
      <c r="AN24">
        <v>98.02</v>
      </c>
      <c r="AO24">
        <v>0</v>
      </c>
      <c r="AP24">
        <v>99.18</v>
      </c>
      <c r="AQ24">
        <v>98.99</v>
      </c>
      <c r="AR24">
        <v>96.67</v>
      </c>
      <c r="AS24">
        <v>97.34</v>
      </c>
      <c r="AT24">
        <v>93.79</v>
      </c>
      <c r="AU24">
        <v>99.43</v>
      </c>
      <c r="AV24">
        <v>99.63</v>
      </c>
      <c r="AW24">
        <v>97.2</v>
      </c>
      <c r="AX24">
        <v>99.26</v>
      </c>
      <c r="AY24">
        <v>97.85</v>
      </c>
      <c r="BA24">
        <v>86.35</v>
      </c>
      <c r="BB24">
        <v>94.84</v>
      </c>
      <c r="BC24">
        <v>98.08</v>
      </c>
      <c r="BD24">
        <v>98.08</v>
      </c>
      <c r="BE24">
        <v>98.07</v>
      </c>
      <c r="BF24">
        <v>99.46</v>
      </c>
      <c r="BG24">
        <v>85.54</v>
      </c>
      <c r="BH24">
        <v>99.33</v>
      </c>
      <c r="BI24">
        <v>98.57</v>
      </c>
      <c r="BJ24">
        <v>99.37</v>
      </c>
      <c r="BK24">
        <v>0</v>
      </c>
      <c r="BL24">
        <v>97.43</v>
      </c>
      <c r="BM24">
        <v>98.71</v>
      </c>
      <c r="BN24">
        <v>95.67</v>
      </c>
      <c r="BO24">
        <v>99.17</v>
      </c>
      <c r="BP24">
        <v>99.34</v>
      </c>
      <c r="BQ24">
        <v>98.16</v>
      </c>
      <c r="BR24">
        <v>99.86</v>
      </c>
      <c r="BS24" s="180">
        <v>99.45</v>
      </c>
      <c r="BT24" s="180">
        <v>99.49</v>
      </c>
      <c r="BU24" s="180">
        <v>95.04</v>
      </c>
      <c r="BV24" s="180">
        <v>88.18</v>
      </c>
      <c r="BW24" s="180">
        <v>99.2</v>
      </c>
      <c r="BX24" s="180">
        <v>99.55</v>
      </c>
      <c r="BY24" s="180">
        <v>99.84</v>
      </c>
      <c r="BZ24" s="180">
        <v>97.63</v>
      </c>
      <c r="CA24" s="180">
        <v>99.69</v>
      </c>
      <c r="CB24" s="180">
        <v>99.01</v>
      </c>
      <c r="CC24" s="180">
        <v>96.95</v>
      </c>
      <c r="CD24" s="180">
        <v>99.7</v>
      </c>
      <c r="CE24" s="180"/>
      <c r="CF24" s="180"/>
      <c r="CG24" s="180"/>
      <c r="CH24" s="180"/>
      <c r="CI24" s="180"/>
      <c r="CJ24" s="180"/>
      <c r="CK24" s="180"/>
      <c r="CL24" s="180"/>
      <c r="CM24" s="180"/>
      <c r="CN24" s="180"/>
      <c r="CO24" s="180"/>
      <c r="CP24" s="180"/>
      <c r="CQ24" s="180"/>
      <c r="CR24" s="180"/>
      <c r="CS24" s="180"/>
      <c r="CT24" s="180"/>
      <c r="CU24" s="180"/>
    </row>
    <row r="25" spans="1:99" x14ac:dyDescent="0.3">
      <c r="A25">
        <v>80</v>
      </c>
      <c r="B25" t="s">
        <v>209</v>
      </c>
      <c r="E25">
        <v>164706</v>
      </c>
      <c r="F25">
        <v>0</v>
      </c>
      <c r="G25">
        <v>1412067</v>
      </c>
      <c r="H25">
        <v>756796</v>
      </c>
      <c r="I25">
        <v>128282</v>
      </c>
      <c r="J25">
        <v>0</v>
      </c>
      <c r="K25">
        <v>197283</v>
      </c>
      <c r="L25">
        <v>4030276</v>
      </c>
      <c r="M25">
        <v>0</v>
      </c>
      <c r="N25">
        <v>0</v>
      </c>
      <c r="O25">
        <v>0</v>
      </c>
      <c r="P25">
        <v>52362</v>
      </c>
      <c r="Q25">
        <v>6918551</v>
      </c>
      <c r="R25">
        <v>0</v>
      </c>
      <c r="S25">
        <v>409465</v>
      </c>
      <c r="T25">
        <v>682608</v>
      </c>
      <c r="U25">
        <v>1344513</v>
      </c>
      <c r="V25">
        <v>8477375</v>
      </c>
      <c r="W25">
        <v>0</v>
      </c>
      <c r="X25">
        <v>304889</v>
      </c>
      <c r="Y25">
        <v>792305</v>
      </c>
      <c r="Z25">
        <v>56585837</v>
      </c>
      <c r="AA25">
        <v>1512419</v>
      </c>
      <c r="AB25">
        <v>749226</v>
      </c>
      <c r="AC25">
        <v>0</v>
      </c>
      <c r="AD25">
        <v>0</v>
      </c>
      <c r="AF25">
        <v>23392748</v>
      </c>
      <c r="AG25">
        <v>0</v>
      </c>
      <c r="AH25">
        <v>70559</v>
      </c>
      <c r="AI25">
        <v>2129347</v>
      </c>
      <c r="AJ25">
        <v>104468</v>
      </c>
      <c r="AK25">
        <v>208675</v>
      </c>
      <c r="AL25">
        <v>21857425</v>
      </c>
      <c r="AM25">
        <v>347882</v>
      </c>
      <c r="AN25">
        <v>10158127</v>
      </c>
      <c r="AO25">
        <v>0</v>
      </c>
      <c r="AP25">
        <v>3394441</v>
      </c>
      <c r="AQ25">
        <v>0</v>
      </c>
      <c r="AR25">
        <v>0</v>
      </c>
      <c r="AS25">
        <v>1516940</v>
      </c>
      <c r="AT25">
        <v>113683</v>
      </c>
      <c r="AU25">
        <v>44217517</v>
      </c>
      <c r="AV25">
        <v>23399333</v>
      </c>
      <c r="AW25">
        <v>560583</v>
      </c>
      <c r="AX25">
        <v>84333</v>
      </c>
      <c r="AY25">
        <v>3452</v>
      </c>
      <c r="BA25">
        <v>606383</v>
      </c>
      <c r="BB25">
        <v>3632318</v>
      </c>
      <c r="BC25">
        <v>375040</v>
      </c>
      <c r="BD25">
        <v>0</v>
      </c>
      <c r="BE25">
        <v>184924</v>
      </c>
      <c r="BF25">
        <v>10443019</v>
      </c>
      <c r="BG25">
        <v>0</v>
      </c>
      <c r="BH25">
        <v>10880055</v>
      </c>
      <c r="BI25">
        <v>987728</v>
      </c>
      <c r="BJ25">
        <v>0</v>
      </c>
      <c r="BK25">
        <v>0</v>
      </c>
      <c r="BL25">
        <v>31750717</v>
      </c>
      <c r="BM25">
        <v>9836679</v>
      </c>
      <c r="BN25">
        <v>210058</v>
      </c>
      <c r="BO25">
        <v>28016950</v>
      </c>
      <c r="BP25">
        <v>43145533</v>
      </c>
      <c r="BQ25">
        <v>285756</v>
      </c>
      <c r="BR25">
        <v>243091</v>
      </c>
      <c r="BS25" s="180">
        <v>0</v>
      </c>
      <c r="BT25" s="180">
        <v>12772851</v>
      </c>
      <c r="BU25" s="180">
        <v>280537</v>
      </c>
      <c r="BV25" s="180">
        <v>18265</v>
      </c>
      <c r="BW25" s="180">
        <v>749762</v>
      </c>
      <c r="BX25" s="180">
        <v>0</v>
      </c>
      <c r="BY25" s="180">
        <v>43878068</v>
      </c>
      <c r="BZ25" s="180">
        <v>520919</v>
      </c>
      <c r="CA25" s="180">
        <v>0</v>
      </c>
      <c r="CB25" s="180">
        <v>293791</v>
      </c>
      <c r="CC25" s="180">
        <v>0</v>
      </c>
      <c r="CD25" s="180">
        <v>0</v>
      </c>
      <c r="CE25" s="180"/>
      <c r="CF25" s="180"/>
      <c r="CG25" s="180"/>
      <c r="CH25" s="180"/>
      <c r="CI25" s="180"/>
      <c r="CJ25" s="180"/>
      <c r="CK25" s="180"/>
      <c r="CL25" s="180"/>
      <c r="CM25" s="180"/>
      <c r="CN25" s="180"/>
      <c r="CO25" s="180"/>
      <c r="CP25" s="180"/>
      <c r="CQ25" s="180"/>
      <c r="CR25" s="180"/>
      <c r="CS25" s="180"/>
      <c r="CT25" s="180"/>
      <c r="CU25" s="180"/>
    </row>
    <row r="26" spans="1:99" x14ac:dyDescent="0.3">
      <c r="A26">
        <v>81</v>
      </c>
      <c r="B26" t="s">
        <v>210</v>
      </c>
      <c r="E26">
        <v>179124</v>
      </c>
      <c r="F26">
        <v>0</v>
      </c>
      <c r="G26">
        <v>84605</v>
      </c>
      <c r="H26">
        <v>45697</v>
      </c>
      <c r="I26">
        <v>6110</v>
      </c>
      <c r="J26">
        <v>0</v>
      </c>
      <c r="K26">
        <v>21536</v>
      </c>
      <c r="L26">
        <v>528942</v>
      </c>
      <c r="M26">
        <v>0</v>
      </c>
      <c r="N26">
        <v>0</v>
      </c>
      <c r="O26">
        <v>0</v>
      </c>
      <c r="P26">
        <v>3308</v>
      </c>
      <c r="Q26">
        <v>722692</v>
      </c>
      <c r="R26">
        <v>0</v>
      </c>
      <c r="S26">
        <v>18190</v>
      </c>
      <c r="T26">
        <v>156246</v>
      </c>
      <c r="U26">
        <v>31476</v>
      </c>
      <c r="V26">
        <v>640329</v>
      </c>
      <c r="W26">
        <v>0</v>
      </c>
      <c r="X26">
        <v>119239</v>
      </c>
      <c r="Y26">
        <v>101378</v>
      </c>
      <c r="Z26">
        <v>1965703</v>
      </c>
      <c r="AA26">
        <v>16386</v>
      </c>
      <c r="AB26">
        <v>7389</v>
      </c>
      <c r="AC26">
        <v>0</v>
      </c>
      <c r="AD26">
        <v>0</v>
      </c>
      <c r="AF26">
        <v>4695812</v>
      </c>
      <c r="AG26">
        <v>0</v>
      </c>
      <c r="AH26">
        <v>12030</v>
      </c>
      <c r="AI26">
        <v>279090</v>
      </c>
      <c r="AJ26">
        <v>14448</v>
      </c>
      <c r="AK26">
        <v>12590</v>
      </c>
      <c r="AL26">
        <v>3274168</v>
      </c>
      <c r="AM26">
        <v>0</v>
      </c>
      <c r="AN26">
        <v>1531081</v>
      </c>
      <c r="AO26">
        <v>0</v>
      </c>
      <c r="AP26">
        <v>397311</v>
      </c>
      <c r="AQ26">
        <v>0</v>
      </c>
      <c r="AR26">
        <v>0</v>
      </c>
      <c r="AS26">
        <v>207067</v>
      </c>
      <c r="AT26">
        <v>65903</v>
      </c>
      <c r="AU26">
        <v>19062612</v>
      </c>
      <c r="AV26">
        <v>5242744</v>
      </c>
      <c r="AW26">
        <v>130022</v>
      </c>
      <c r="AX26">
        <v>39504</v>
      </c>
      <c r="AY26">
        <v>33671</v>
      </c>
      <c r="BA26">
        <v>22496</v>
      </c>
      <c r="BB26">
        <v>187272</v>
      </c>
      <c r="BC26">
        <v>121495</v>
      </c>
      <c r="BD26">
        <v>0</v>
      </c>
      <c r="BE26">
        <v>10319</v>
      </c>
      <c r="BF26">
        <v>1398922</v>
      </c>
      <c r="BG26">
        <v>0</v>
      </c>
      <c r="BH26">
        <v>798833</v>
      </c>
      <c r="BI26">
        <v>270531</v>
      </c>
      <c r="BJ26">
        <v>0</v>
      </c>
      <c r="BK26">
        <v>0</v>
      </c>
      <c r="BL26">
        <v>1494762</v>
      </c>
      <c r="BM26">
        <v>3198599</v>
      </c>
      <c r="BN26">
        <v>247833</v>
      </c>
      <c r="BO26">
        <v>3981315</v>
      </c>
      <c r="BP26">
        <v>6676950</v>
      </c>
      <c r="BQ26">
        <v>20000</v>
      </c>
      <c r="BR26">
        <v>265665</v>
      </c>
      <c r="BS26" s="180">
        <v>0</v>
      </c>
      <c r="BT26" s="180">
        <v>1957220</v>
      </c>
      <c r="BU26" s="180">
        <v>38868</v>
      </c>
      <c r="BV26" s="180">
        <v>4113</v>
      </c>
      <c r="BW26" s="180">
        <v>272187</v>
      </c>
      <c r="BX26" s="180">
        <v>0</v>
      </c>
      <c r="BY26" s="180">
        <v>3098833</v>
      </c>
      <c r="BZ26" s="180">
        <v>24262</v>
      </c>
      <c r="CA26" s="180">
        <v>0</v>
      </c>
      <c r="CB26" s="180">
        <v>53000</v>
      </c>
      <c r="CC26" s="180">
        <v>0</v>
      </c>
      <c r="CD26" s="180">
        <v>0</v>
      </c>
      <c r="CE26" s="180"/>
      <c r="CF26" s="180"/>
      <c r="CG26" s="180"/>
      <c r="CH26" s="180"/>
      <c r="CI26" s="180"/>
      <c r="CJ26" s="180"/>
      <c r="CK26" s="180"/>
      <c r="CL26" s="180"/>
      <c r="CM26" s="180"/>
      <c r="CN26" s="180"/>
      <c r="CO26" s="180"/>
      <c r="CP26" s="180"/>
      <c r="CQ26" s="180"/>
      <c r="CR26" s="180"/>
      <c r="CS26" s="180"/>
      <c r="CT26" s="180"/>
      <c r="CU26" s="180"/>
    </row>
    <row r="27" spans="1:99" s="558" customFormat="1" x14ac:dyDescent="0.3">
      <c r="A27">
        <v>82</v>
      </c>
      <c r="B27" t="s">
        <v>307</v>
      </c>
      <c r="C27"/>
      <c r="D27"/>
      <c r="E27">
        <v>2306754</v>
      </c>
      <c r="F27">
        <v>0</v>
      </c>
      <c r="G27">
        <v>250858</v>
      </c>
      <c r="H27">
        <v>1191000</v>
      </c>
      <c r="I27">
        <v>0</v>
      </c>
      <c r="J27">
        <v>0</v>
      </c>
      <c r="K27">
        <v>1726000</v>
      </c>
      <c r="L27">
        <v>9916932</v>
      </c>
      <c r="M27">
        <v>0</v>
      </c>
      <c r="N27">
        <v>0</v>
      </c>
      <c r="O27">
        <v>0</v>
      </c>
      <c r="P27">
        <v>0</v>
      </c>
      <c r="Q27">
        <v>266235</v>
      </c>
      <c r="R27">
        <v>0</v>
      </c>
      <c r="S27">
        <v>169195</v>
      </c>
      <c r="T27">
        <v>592774</v>
      </c>
      <c r="U27">
        <v>0</v>
      </c>
      <c r="V27">
        <v>5899617</v>
      </c>
      <c r="W27">
        <v>0</v>
      </c>
      <c r="X27">
        <v>374222</v>
      </c>
      <c r="Y27">
        <v>695800</v>
      </c>
      <c r="Z27">
        <v>39531337</v>
      </c>
      <c r="AA27">
        <v>0</v>
      </c>
      <c r="AB27">
        <v>0</v>
      </c>
      <c r="AC27">
        <v>0</v>
      </c>
      <c r="AD27">
        <v>0</v>
      </c>
      <c r="AE27"/>
      <c r="AF27">
        <v>55242879</v>
      </c>
      <c r="AG27">
        <v>0</v>
      </c>
      <c r="AH27">
        <v>0</v>
      </c>
      <c r="AI27">
        <v>2809812</v>
      </c>
      <c r="AJ27">
        <v>0</v>
      </c>
      <c r="AK27">
        <v>736000</v>
      </c>
      <c r="AL27">
        <v>20559185</v>
      </c>
      <c r="AM27">
        <v>2544378</v>
      </c>
      <c r="AN27">
        <v>5084683</v>
      </c>
      <c r="AO27">
        <v>0</v>
      </c>
      <c r="AP27">
        <v>2431490</v>
      </c>
      <c r="AQ27">
        <v>0</v>
      </c>
      <c r="AR27">
        <v>0</v>
      </c>
      <c r="AS27">
        <v>2339433</v>
      </c>
      <c r="AT27">
        <v>0</v>
      </c>
      <c r="AU27">
        <v>384899588</v>
      </c>
      <c r="AV27">
        <v>114907678</v>
      </c>
      <c r="AW27">
        <v>983714</v>
      </c>
      <c r="AX27">
        <v>355805</v>
      </c>
      <c r="AY27">
        <v>93494</v>
      </c>
      <c r="AZ27"/>
      <c r="BA27">
        <v>0</v>
      </c>
      <c r="BB27">
        <v>0</v>
      </c>
      <c r="BC27">
        <v>199000</v>
      </c>
      <c r="BD27">
        <v>0</v>
      </c>
      <c r="BE27">
        <v>238206</v>
      </c>
      <c r="BF27">
        <v>11780835</v>
      </c>
      <c r="BG27">
        <v>0</v>
      </c>
      <c r="BH27">
        <v>12388600</v>
      </c>
      <c r="BI27">
        <v>993668</v>
      </c>
      <c r="BJ27">
        <v>0</v>
      </c>
      <c r="BK27">
        <v>0</v>
      </c>
      <c r="BL27">
        <v>16976930</v>
      </c>
      <c r="BM27">
        <v>54567901</v>
      </c>
      <c r="BN27">
        <v>5889845</v>
      </c>
      <c r="BO27">
        <v>21472443</v>
      </c>
      <c r="BP27">
        <v>178327124</v>
      </c>
      <c r="BQ27">
        <v>0</v>
      </c>
      <c r="BR27">
        <v>793247</v>
      </c>
      <c r="BS27" s="558">
        <v>0</v>
      </c>
      <c r="BT27" s="558">
        <v>24666425</v>
      </c>
      <c r="BU27" s="558">
        <v>0</v>
      </c>
      <c r="BV27" s="558">
        <v>0</v>
      </c>
      <c r="BW27" s="558">
        <v>2731515</v>
      </c>
      <c r="BX27" s="558">
        <v>0</v>
      </c>
      <c r="BY27" s="558">
        <v>27717544</v>
      </c>
      <c r="BZ27" s="558">
        <v>401219</v>
      </c>
      <c r="CA27" s="558">
        <v>0</v>
      </c>
      <c r="CB27" s="558">
        <v>77000</v>
      </c>
      <c r="CC27" s="558">
        <v>0</v>
      </c>
      <c r="CD27" s="558">
        <v>0</v>
      </c>
    </row>
    <row r="28" spans="1:99" s="558" customFormat="1" x14ac:dyDescent="0.3">
      <c r="A28">
        <v>83</v>
      </c>
      <c r="B28" t="s">
        <v>94</v>
      </c>
      <c r="C28"/>
      <c r="D28"/>
      <c r="E28">
        <v>6399271</v>
      </c>
      <c r="F28">
        <v>0</v>
      </c>
      <c r="G28">
        <v>8911871</v>
      </c>
      <c r="H28">
        <v>4027154</v>
      </c>
      <c r="I28">
        <v>393375</v>
      </c>
      <c r="J28">
        <v>0</v>
      </c>
      <c r="K28">
        <v>2710879</v>
      </c>
      <c r="L28">
        <v>33462757</v>
      </c>
      <c r="M28">
        <v>0</v>
      </c>
      <c r="N28">
        <v>0</v>
      </c>
      <c r="O28">
        <v>0</v>
      </c>
      <c r="P28">
        <v>3491001</v>
      </c>
      <c r="Q28">
        <v>46977511</v>
      </c>
      <c r="R28">
        <v>0</v>
      </c>
      <c r="S28">
        <v>4115320</v>
      </c>
      <c r="T28">
        <v>4618493</v>
      </c>
      <c r="U28">
        <v>2109507</v>
      </c>
      <c r="V28">
        <v>26806589</v>
      </c>
      <c r="W28">
        <v>0</v>
      </c>
      <c r="X28">
        <v>4615497</v>
      </c>
      <c r="Y28">
        <v>9477678</v>
      </c>
      <c r="Z28">
        <v>143171850</v>
      </c>
      <c r="AA28">
        <v>2938826</v>
      </c>
      <c r="AB28">
        <v>3921716</v>
      </c>
      <c r="AC28">
        <v>0</v>
      </c>
      <c r="AD28">
        <v>0</v>
      </c>
      <c r="AE28"/>
      <c r="AF28">
        <v>231987867</v>
      </c>
      <c r="AG28">
        <v>0</v>
      </c>
      <c r="AH28">
        <v>790390</v>
      </c>
      <c r="AI28">
        <v>5699425</v>
      </c>
      <c r="AJ28">
        <v>1356580</v>
      </c>
      <c r="AK28">
        <v>1185897</v>
      </c>
      <c r="AL28">
        <v>72783844</v>
      </c>
      <c r="AM28">
        <v>5735874</v>
      </c>
      <c r="AN28">
        <v>67354415</v>
      </c>
      <c r="AO28">
        <v>0</v>
      </c>
      <c r="AP28">
        <v>13424691</v>
      </c>
      <c r="AQ28">
        <v>0</v>
      </c>
      <c r="AR28">
        <v>0</v>
      </c>
      <c r="AS28">
        <v>5017098</v>
      </c>
      <c r="AT28">
        <v>4674554</v>
      </c>
      <c r="AU28">
        <v>668856722</v>
      </c>
      <c r="AV28">
        <v>231289382</v>
      </c>
      <c r="AW28">
        <v>4552823</v>
      </c>
      <c r="AX28">
        <v>1904274</v>
      </c>
      <c r="AY28">
        <v>1690749</v>
      </c>
      <c r="AZ28"/>
      <c r="BA28">
        <v>1565132</v>
      </c>
      <c r="BB28">
        <v>5277400</v>
      </c>
      <c r="BC28">
        <v>3044193</v>
      </c>
      <c r="BD28">
        <v>0</v>
      </c>
      <c r="BE28">
        <v>568465</v>
      </c>
      <c r="BF28">
        <v>36006899</v>
      </c>
      <c r="BG28">
        <v>0</v>
      </c>
      <c r="BH28">
        <v>22002985</v>
      </c>
      <c r="BI28">
        <v>3581842</v>
      </c>
      <c r="BJ28">
        <v>0</v>
      </c>
      <c r="BK28">
        <v>0</v>
      </c>
      <c r="BL28">
        <v>110521085</v>
      </c>
      <c r="BM28">
        <v>82209392</v>
      </c>
      <c r="BN28">
        <v>5828915</v>
      </c>
      <c r="BO28">
        <v>144907858</v>
      </c>
      <c r="BP28">
        <v>234244628</v>
      </c>
      <c r="BQ28">
        <v>7305401</v>
      </c>
      <c r="BR28">
        <v>27269356</v>
      </c>
      <c r="BS28" s="558">
        <v>0</v>
      </c>
      <c r="BT28" s="558">
        <v>55671846</v>
      </c>
      <c r="BU28" s="558">
        <v>2523268</v>
      </c>
      <c r="BV28" s="558">
        <v>3199892</v>
      </c>
      <c r="BW28" s="558">
        <v>20906902</v>
      </c>
      <c r="BX28" s="558">
        <v>0</v>
      </c>
      <c r="BY28" s="558">
        <v>167895571</v>
      </c>
      <c r="BZ28" s="558">
        <v>2932963</v>
      </c>
      <c r="CA28" s="558">
        <v>0</v>
      </c>
      <c r="CB28" s="558">
        <v>1999948</v>
      </c>
      <c r="CC28" s="558">
        <v>0</v>
      </c>
      <c r="CD28" s="558">
        <v>0</v>
      </c>
    </row>
    <row r="29" spans="1:99" s="558" customFormat="1" x14ac:dyDescent="0.3">
      <c r="A29">
        <v>84</v>
      </c>
      <c r="B29" t="s">
        <v>218</v>
      </c>
      <c r="C29"/>
      <c r="D29"/>
      <c r="E29">
        <v>1503103</v>
      </c>
      <c r="F29">
        <v>0</v>
      </c>
      <c r="G29">
        <v>708711</v>
      </c>
      <c r="H29">
        <v>462392</v>
      </c>
      <c r="I29">
        <v>185659</v>
      </c>
      <c r="J29">
        <v>0</v>
      </c>
      <c r="K29">
        <v>229338</v>
      </c>
      <c r="L29">
        <v>5049957</v>
      </c>
      <c r="M29">
        <v>0</v>
      </c>
      <c r="N29">
        <v>0</v>
      </c>
      <c r="O29">
        <v>0</v>
      </c>
      <c r="P29">
        <v>112905</v>
      </c>
      <c r="Q29">
        <v>5866337</v>
      </c>
      <c r="R29">
        <v>0</v>
      </c>
      <c r="S29">
        <v>312868</v>
      </c>
      <c r="T29">
        <v>2241982</v>
      </c>
      <c r="U29">
        <v>379851</v>
      </c>
      <c r="V29">
        <v>4791806</v>
      </c>
      <c r="W29">
        <v>0</v>
      </c>
      <c r="X29">
        <v>626510</v>
      </c>
      <c r="Y29">
        <v>1374718</v>
      </c>
      <c r="Z29">
        <v>28731354</v>
      </c>
      <c r="AA29">
        <v>72330</v>
      </c>
      <c r="AB29">
        <v>302595</v>
      </c>
      <c r="AC29">
        <v>0</v>
      </c>
      <c r="AD29">
        <v>0</v>
      </c>
      <c r="AE29"/>
      <c r="AF29">
        <v>46822097</v>
      </c>
      <c r="AG29">
        <v>0</v>
      </c>
      <c r="AH29">
        <v>149458</v>
      </c>
      <c r="AI29">
        <v>3265308</v>
      </c>
      <c r="AJ29">
        <v>28843</v>
      </c>
      <c r="AK29">
        <v>127719</v>
      </c>
      <c r="AL29">
        <v>20873466</v>
      </c>
      <c r="AM29">
        <v>122714</v>
      </c>
      <c r="AN29">
        <v>11021540</v>
      </c>
      <c r="AO29">
        <v>0</v>
      </c>
      <c r="AP29">
        <v>2628459</v>
      </c>
      <c r="AQ29">
        <v>0</v>
      </c>
      <c r="AR29">
        <v>0</v>
      </c>
      <c r="AS29">
        <v>1270672</v>
      </c>
      <c r="AT29">
        <v>429356</v>
      </c>
      <c r="AU29">
        <v>140433712</v>
      </c>
      <c r="AV29">
        <v>50071103</v>
      </c>
      <c r="AW29">
        <v>1044089</v>
      </c>
      <c r="AX29">
        <v>336945</v>
      </c>
      <c r="AY29">
        <v>425742</v>
      </c>
      <c r="AZ29"/>
      <c r="BA29">
        <v>298803</v>
      </c>
      <c r="BB29">
        <v>2922766</v>
      </c>
      <c r="BC29">
        <v>132027</v>
      </c>
      <c r="BD29">
        <v>0</v>
      </c>
      <c r="BE29">
        <v>170004</v>
      </c>
      <c r="BF29">
        <v>12060916</v>
      </c>
      <c r="BG29">
        <v>0</v>
      </c>
      <c r="BH29">
        <v>7581750</v>
      </c>
      <c r="BI29">
        <v>2195639</v>
      </c>
      <c r="BJ29">
        <v>0</v>
      </c>
      <c r="BK29">
        <v>0</v>
      </c>
      <c r="BL29">
        <v>18606772</v>
      </c>
      <c r="BM29">
        <v>22512835</v>
      </c>
      <c r="BN29">
        <v>1936749</v>
      </c>
      <c r="BO29">
        <v>34540312</v>
      </c>
      <c r="BP29">
        <v>62734169</v>
      </c>
      <c r="BQ29">
        <v>245465</v>
      </c>
      <c r="BR29">
        <v>2515870</v>
      </c>
      <c r="BS29" s="558">
        <v>0</v>
      </c>
      <c r="BT29" s="558">
        <v>11490059</v>
      </c>
      <c r="BU29" s="558">
        <v>207171</v>
      </c>
      <c r="BV29" s="558">
        <v>24494</v>
      </c>
      <c r="BW29" s="558">
        <v>2396293</v>
      </c>
      <c r="BX29" s="558">
        <v>0</v>
      </c>
      <c r="BY29" s="558">
        <v>22042323</v>
      </c>
      <c r="BZ29" s="558">
        <v>222143</v>
      </c>
      <c r="CA29" s="558">
        <v>0</v>
      </c>
      <c r="CB29" s="558">
        <v>351524</v>
      </c>
      <c r="CC29" s="558">
        <v>0</v>
      </c>
      <c r="CD29" s="558">
        <v>0</v>
      </c>
    </row>
    <row r="30" spans="1:99" s="558" customFormat="1" ht="13.95" customHeight="1" x14ac:dyDescent="0.3">
      <c r="A30">
        <v>85</v>
      </c>
      <c r="B30" t="s">
        <v>220</v>
      </c>
      <c r="C30"/>
      <c r="D30"/>
      <c r="E30">
        <v>1666232</v>
      </c>
      <c r="F30">
        <v>0</v>
      </c>
      <c r="G30">
        <v>1000511</v>
      </c>
      <c r="H30">
        <v>442441</v>
      </c>
      <c r="I30">
        <v>212024</v>
      </c>
      <c r="J30">
        <v>0</v>
      </c>
      <c r="K30">
        <v>317172</v>
      </c>
      <c r="L30">
        <v>4447840</v>
      </c>
      <c r="M30">
        <v>0</v>
      </c>
      <c r="N30">
        <v>0</v>
      </c>
      <c r="O30">
        <v>0</v>
      </c>
      <c r="P30">
        <v>216211</v>
      </c>
      <c r="Q30">
        <v>6517846</v>
      </c>
      <c r="R30">
        <v>0</v>
      </c>
      <c r="S30">
        <v>502744</v>
      </c>
      <c r="T30">
        <v>2070370</v>
      </c>
      <c r="U30">
        <v>329840</v>
      </c>
      <c r="V30">
        <v>3384411</v>
      </c>
      <c r="W30">
        <v>0</v>
      </c>
      <c r="X30">
        <v>735830</v>
      </c>
      <c r="Y30">
        <v>1280672</v>
      </c>
      <c r="Z30">
        <v>21903407</v>
      </c>
      <c r="AA30">
        <v>122579</v>
      </c>
      <c r="AB30">
        <v>391227</v>
      </c>
      <c r="AC30">
        <v>0</v>
      </c>
      <c r="AD30">
        <v>0</v>
      </c>
      <c r="AE30"/>
      <c r="AF30">
        <v>44899239</v>
      </c>
      <c r="AG30">
        <v>0</v>
      </c>
      <c r="AH30">
        <v>195986</v>
      </c>
      <c r="AI30">
        <v>3199782</v>
      </c>
      <c r="AJ30">
        <v>86346</v>
      </c>
      <c r="AK30">
        <v>108991</v>
      </c>
      <c r="AL30">
        <v>14514667</v>
      </c>
      <c r="AM30">
        <v>287869</v>
      </c>
      <c r="AN30">
        <v>8733283</v>
      </c>
      <c r="AO30">
        <v>0</v>
      </c>
      <c r="AP30">
        <v>2932934</v>
      </c>
      <c r="AQ30">
        <v>0</v>
      </c>
      <c r="AR30">
        <v>0</v>
      </c>
      <c r="AS30">
        <v>1182250</v>
      </c>
      <c r="AT30">
        <v>474130</v>
      </c>
      <c r="AU30">
        <v>116064567</v>
      </c>
      <c r="AV30">
        <v>52220696</v>
      </c>
      <c r="AW30">
        <v>1253424</v>
      </c>
      <c r="AX30">
        <v>461194</v>
      </c>
      <c r="AY30">
        <v>679685</v>
      </c>
      <c r="AZ30"/>
      <c r="BA30">
        <v>414993</v>
      </c>
      <c r="BB30">
        <v>3554397</v>
      </c>
      <c r="BC30">
        <v>278204</v>
      </c>
      <c r="BD30">
        <v>0</v>
      </c>
      <c r="BE30">
        <v>165595</v>
      </c>
      <c r="BF30">
        <v>10559693</v>
      </c>
      <c r="BG30">
        <v>0</v>
      </c>
      <c r="BH30">
        <v>6883401</v>
      </c>
      <c r="BI30">
        <v>2153062</v>
      </c>
      <c r="BJ30">
        <v>0</v>
      </c>
      <c r="BK30">
        <v>0</v>
      </c>
      <c r="BL30">
        <v>15167819</v>
      </c>
      <c r="BM30">
        <v>22876337</v>
      </c>
      <c r="BN30">
        <v>2064501</v>
      </c>
      <c r="BO30">
        <v>27649874</v>
      </c>
      <c r="BP30">
        <v>51774438</v>
      </c>
      <c r="BQ30">
        <v>301197</v>
      </c>
      <c r="BR30">
        <v>3304781</v>
      </c>
      <c r="BS30" s="558">
        <v>0</v>
      </c>
      <c r="BT30" s="558">
        <v>10248186</v>
      </c>
      <c r="BU30" s="558">
        <v>347625</v>
      </c>
      <c r="BV30" s="558">
        <v>104460</v>
      </c>
      <c r="BW30" s="558">
        <v>2800283</v>
      </c>
      <c r="BX30" s="558">
        <v>0</v>
      </c>
      <c r="BY30" s="558">
        <v>21688593</v>
      </c>
      <c r="BZ30" s="558">
        <v>233785</v>
      </c>
      <c r="CA30" s="558">
        <v>0</v>
      </c>
      <c r="CB30" s="558">
        <v>329300</v>
      </c>
      <c r="CC30" s="558">
        <v>0</v>
      </c>
      <c r="CD30" s="558">
        <v>0</v>
      </c>
    </row>
    <row r="31" spans="1:99" x14ac:dyDescent="0.3">
      <c r="A31">
        <v>88</v>
      </c>
      <c r="B31" t="s">
        <v>217</v>
      </c>
      <c r="E31">
        <v>1503103</v>
      </c>
      <c r="F31">
        <v>0</v>
      </c>
      <c r="G31">
        <v>677450</v>
      </c>
      <c r="H31">
        <v>419934</v>
      </c>
      <c r="I31">
        <v>177752</v>
      </c>
      <c r="J31">
        <v>0</v>
      </c>
      <c r="K31">
        <v>151327</v>
      </c>
      <c r="L31">
        <v>4860654</v>
      </c>
      <c r="M31">
        <v>0</v>
      </c>
      <c r="N31">
        <v>0</v>
      </c>
      <c r="O31">
        <v>0</v>
      </c>
      <c r="P31">
        <v>91189</v>
      </c>
      <c r="Q31">
        <v>5550734</v>
      </c>
      <c r="R31">
        <v>0</v>
      </c>
      <c r="S31">
        <v>294288</v>
      </c>
      <c r="T31">
        <v>1739708</v>
      </c>
      <c r="U31">
        <v>309591</v>
      </c>
      <c r="V31">
        <v>4523225</v>
      </c>
      <c r="W31">
        <v>0</v>
      </c>
      <c r="X31">
        <v>588280</v>
      </c>
      <c r="Y31">
        <v>1363793</v>
      </c>
      <c r="Z31">
        <v>27847008</v>
      </c>
      <c r="AA31">
        <v>72330</v>
      </c>
      <c r="AB31">
        <v>290629</v>
      </c>
      <c r="AC31">
        <v>0</v>
      </c>
      <c r="AD31">
        <v>0</v>
      </c>
      <c r="AF31">
        <v>45000105</v>
      </c>
      <c r="AG31">
        <v>0</v>
      </c>
      <c r="AH31">
        <v>138388</v>
      </c>
      <c r="AI31">
        <v>3110003</v>
      </c>
      <c r="AJ31">
        <v>28843</v>
      </c>
      <c r="AK31">
        <v>108668</v>
      </c>
      <c r="AL31">
        <v>20763537</v>
      </c>
      <c r="AM31">
        <v>110695</v>
      </c>
      <c r="AN31">
        <v>8824235</v>
      </c>
      <c r="AO31">
        <v>0</v>
      </c>
      <c r="AP31">
        <v>2567487</v>
      </c>
      <c r="AQ31">
        <v>0</v>
      </c>
      <c r="AR31">
        <v>0</v>
      </c>
      <c r="AS31">
        <v>1270672</v>
      </c>
      <c r="AT31">
        <v>415726</v>
      </c>
      <c r="AU31">
        <v>137823798</v>
      </c>
      <c r="AV31">
        <v>49934185</v>
      </c>
      <c r="AW31">
        <v>991815</v>
      </c>
      <c r="AX31">
        <v>336945</v>
      </c>
      <c r="AY31">
        <v>376567</v>
      </c>
      <c r="BA31">
        <v>294943</v>
      </c>
      <c r="BB31">
        <v>2917606</v>
      </c>
      <c r="BC31">
        <v>130265</v>
      </c>
      <c r="BD31">
        <v>0</v>
      </c>
      <c r="BE31">
        <v>156449</v>
      </c>
      <c r="BF31">
        <v>9434677</v>
      </c>
      <c r="BG31">
        <v>0</v>
      </c>
      <c r="BH31">
        <v>7397404</v>
      </c>
      <c r="BI31">
        <v>2044625</v>
      </c>
      <c r="BJ31">
        <v>0</v>
      </c>
      <c r="BK31">
        <v>0</v>
      </c>
      <c r="BL31">
        <v>18182136</v>
      </c>
      <c r="BM31">
        <v>21489697</v>
      </c>
      <c r="BN31">
        <v>1866073</v>
      </c>
      <c r="BO31">
        <v>33526920</v>
      </c>
      <c r="BP31">
        <v>61780227</v>
      </c>
      <c r="BQ31">
        <v>245465</v>
      </c>
      <c r="BR31">
        <v>2510572</v>
      </c>
      <c r="BS31" s="180">
        <v>0</v>
      </c>
      <c r="BT31" s="180">
        <v>10920544</v>
      </c>
      <c r="BU31" s="180">
        <v>204471</v>
      </c>
      <c r="BV31" s="180">
        <v>24494</v>
      </c>
      <c r="BW31" s="180">
        <v>2268460</v>
      </c>
      <c r="BX31" s="180">
        <v>0</v>
      </c>
      <c r="BY31" s="180">
        <v>18512579</v>
      </c>
      <c r="BZ31" s="180">
        <v>208491</v>
      </c>
      <c r="CA31" s="180">
        <v>0</v>
      </c>
      <c r="CB31" s="180">
        <v>349524</v>
      </c>
      <c r="CC31" s="180">
        <v>0</v>
      </c>
      <c r="CD31" s="180">
        <v>0</v>
      </c>
      <c r="CE31" s="180"/>
      <c r="CF31" s="180"/>
      <c r="CG31" s="180"/>
      <c r="CH31" s="180"/>
      <c r="CI31" s="180"/>
      <c r="CJ31" s="180"/>
      <c r="CK31" s="180"/>
      <c r="CL31" s="180"/>
      <c r="CM31" s="180"/>
      <c r="CN31" s="180"/>
      <c r="CO31" s="180"/>
      <c r="CP31" s="180"/>
      <c r="CQ31" s="180"/>
      <c r="CR31" s="180"/>
      <c r="CS31" s="180"/>
      <c r="CT31" s="180"/>
      <c r="CU31" s="180"/>
    </row>
    <row r="32" spans="1:99" x14ac:dyDescent="0.3">
      <c r="A32">
        <v>89</v>
      </c>
      <c r="B32" t="s">
        <v>221</v>
      </c>
      <c r="E32">
        <v>66489</v>
      </c>
      <c r="F32">
        <v>0</v>
      </c>
      <c r="G32">
        <v>0</v>
      </c>
      <c r="H32">
        <v>58140</v>
      </c>
      <c r="I32">
        <v>0</v>
      </c>
      <c r="J32">
        <v>0</v>
      </c>
      <c r="K32">
        <v>30800</v>
      </c>
      <c r="L32">
        <v>323313</v>
      </c>
      <c r="M32">
        <v>0</v>
      </c>
      <c r="N32">
        <v>0</v>
      </c>
      <c r="O32">
        <v>0</v>
      </c>
      <c r="P32">
        <v>0</v>
      </c>
      <c r="Q32">
        <v>18075</v>
      </c>
      <c r="R32">
        <v>0</v>
      </c>
      <c r="S32">
        <v>0</v>
      </c>
      <c r="T32">
        <v>19815</v>
      </c>
      <c r="U32">
        <v>1219</v>
      </c>
      <c r="V32">
        <v>119751</v>
      </c>
      <c r="W32">
        <v>0</v>
      </c>
      <c r="X32">
        <v>0</v>
      </c>
      <c r="Y32">
        <v>28954</v>
      </c>
      <c r="Z32">
        <v>1030361</v>
      </c>
      <c r="AA32">
        <v>0</v>
      </c>
      <c r="AB32">
        <v>0</v>
      </c>
      <c r="AC32">
        <v>0</v>
      </c>
      <c r="AD32">
        <v>0</v>
      </c>
      <c r="AF32">
        <v>618182</v>
      </c>
      <c r="AG32">
        <v>0</v>
      </c>
      <c r="AH32">
        <v>0</v>
      </c>
      <c r="AI32">
        <v>83232</v>
      </c>
      <c r="AJ32">
        <v>0</v>
      </c>
      <c r="AK32">
        <v>0</v>
      </c>
      <c r="AL32">
        <v>360886</v>
      </c>
      <c r="AM32">
        <v>71443</v>
      </c>
      <c r="AN32">
        <v>66464</v>
      </c>
      <c r="AO32">
        <v>0</v>
      </c>
      <c r="AP32">
        <v>47318</v>
      </c>
      <c r="AQ32">
        <v>0</v>
      </c>
      <c r="AR32">
        <v>0</v>
      </c>
      <c r="AS32">
        <v>35808</v>
      </c>
      <c r="AT32">
        <v>0</v>
      </c>
      <c r="AU32">
        <v>8975578</v>
      </c>
      <c r="AV32">
        <v>2268390</v>
      </c>
      <c r="AW32">
        <v>25345</v>
      </c>
      <c r="AX32">
        <v>13581</v>
      </c>
      <c r="AY32">
        <v>1606</v>
      </c>
      <c r="BA32">
        <v>23828</v>
      </c>
      <c r="BB32">
        <v>0</v>
      </c>
      <c r="BC32">
        <v>8706</v>
      </c>
      <c r="BD32">
        <v>0</v>
      </c>
      <c r="BE32">
        <v>12803</v>
      </c>
      <c r="BF32">
        <v>241164</v>
      </c>
      <c r="BG32">
        <v>0</v>
      </c>
      <c r="BH32">
        <v>409586</v>
      </c>
      <c r="BI32">
        <v>19115</v>
      </c>
      <c r="BJ32">
        <v>0</v>
      </c>
      <c r="BK32">
        <v>0</v>
      </c>
      <c r="BL32">
        <v>103591</v>
      </c>
      <c r="BM32">
        <v>610633</v>
      </c>
      <c r="BN32">
        <v>199936</v>
      </c>
      <c r="BO32">
        <v>349724</v>
      </c>
      <c r="BP32">
        <v>6543836</v>
      </c>
      <c r="BQ32">
        <v>0</v>
      </c>
      <c r="BR32">
        <v>0</v>
      </c>
      <c r="BS32" s="180">
        <v>0</v>
      </c>
      <c r="BT32" s="180">
        <v>777194</v>
      </c>
      <c r="BU32" s="180">
        <v>0</v>
      </c>
      <c r="BV32" s="180">
        <v>0</v>
      </c>
      <c r="BW32" s="180">
        <v>192845</v>
      </c>
      <c r="BX32" s="180">
        <v>0</v>
      </c>
      <c r="BY32" s="180">
        <v>696524</v>
      </c>
      <c r="BZ32" s="180">
        <v>15422</v>
      </c>
      <c r="CA32" s="180">
        <v>0</v>
      </c>
      <c r="CB32" s="180">
        <v>3522</v>
      </c>
      <c r="CC32" s="180">
        <v>0</v>
      </c>
      <c r="CD32" s="180">
        <v>0</v>
      </c>
      <c r="CE32" s="180"/>
      <c r="CF32" s="180"/>
      <c r="CG32" s="180"/>
      <c r="CH32" s="180"/>
      <c r="CI32" s="180"/>
      <c r="CJ32" s="180"/>
      <c r="CK32" s="180"/>
      <c r="CL32" s="180"/>
      <c r="CM32" s="180"/>
      <c r="CN32" s="180"/>
      <c r="CO32" s="180"/>
      <c r="CP32" s="180"/>
      <c r="CQ32" s="180"/>
      <c r="CR32" s="180"/>
      <c r="CS32" s="180"/>
      <c r="CT32" s="180"/>
      <c r="CU32" s="180"/>
    </row>
    <row r="33" spans="1:99" x14ac:dyDescent="0.3">
      <c r="A33">
        <v>90</v>
      </c>
      <c r="B33" t="s">
        <v>214</v>
      </c>
      <c r="E33">
        <v>0</v>
      </c>
      <c r="F33">
        <v>0</v>
      </c>
      <c r="G33">
        <v>0</v>
      </c>
      <c r="H33">
        <v>0</v>
      </c>
      <c r="I33">
        <v>0</v>
      </c>
      <c r="J33">
        <v>0</v>
      </c>
      <c r="K33">
        <v>0</v>
      </c>
      <c r="L33">
        <v>674738</v>
      </c>
      <c r="M33" s="551">
        <v>0</v>
      </c>
      <c r="N33">
        <v>0</v>
      </c>
      <c r="O33">
        <v>0</v>
      </c>
      <c r="P33">
        <v>0</v>
      </c>
      <c r="Q33">
        <v>3039098</v>
      </c>
      <c r="R33">
        <v>0</v>
      </c>
      <c r="S33">
        <v>995438</v>
      </c>
      <c r="T33">
        <v>0</v>
      </c>
      <c r="U33">
        <v>0</v>
      </c>
      <c r="V33">
        <v>0</v>
      </c>
      <c r="W33">
        <v>0</v>
      </c>
      <c r="X33">
        <v>0</v>
      </c>
      <c r="Y33">
        <v>543987</v>
      </c>
      <c r="Z33">
        <v>0</v>
      </c>
      <c r="AA33">
        <v>0</v>
      </c>
      <c r="AB33">
        <v>0</v>
      </c>
      <c r="AC33">
        <v>0</v>
      </c>
      <c r="AD33">
        <v>0</v>
      </c>
      <c r="AF33">
        <v>52578609</v>
      </c>
      <c r="AG33">
        <v>0</v>
      </c>
      <c r="AH33">
        <v>0</v>
      </c>
      <c r="AI33">
        <v>0</v>
      </c>
      <c r="AJ33">
        <v>0</v>
      </c>
      <c r="AK33">
        <v>0</v>
      </c>
      <c r="AL33">
        <v>0</v>
      </c>
      <c r="AM33">
        <v>0</v>
      </c>
      <c r="AN33">
        <v>0</v>
      </c>
      <c r="AO33">
        <v>0</v>
      </c>
      <c r="AP33">
        <v>7134785</v>
      </c>
      <c r="AQ33">
        <v>0</v>
      </c>
      <c r="AR33">
        <v>0</v>
      </c>
      <c r="AS33">
        <v>0</v>
      </c>
      <c r="AT33">
        <v>0</v>
      </c>
      <c r="AU33">
        <v>0</v>
      </c>
      <c r="AV33">
        <v>39223176</v>
      </c>
      <c r="AW33">
        <v>0</v>
      </c>
      <c r="AX33">
        <v>0</v>
      </c>
      <c r="AY33">
        <v>0</v>
      </c>
      <c r="BA33">
        <v>642283</v>
      </c>
      <c r="BB33">
        <v>0</v>
      </c>
      <c r="BC33">
        <v>0</v>
      </c>
      <c r="BD33">
        <v>0</v>
      </c>
      <c r="BE33">
        <v>0</v>
      </c>
      <c r="BF33">
        <v>0</v>
      </c>
      <c r="BG33">
        <v>0</v>
      </c>
      <c r="BH33">
        <v>0</v>
      </c>
      <c r="BI33">
        <v>0</v>
      </c>
      <c r="BJ33">
        <v>0</v>
      </c>
      <c r="BK33">
        <v>0</v>
      </c>
      <c r="BL33">
        <v>0</v>
      </c>
      <c r="BM33">
        <v>0</v>
      </c>
      <c r="BN33">
        <v>885944</v>
      </c>
      <c r="BO33">
        <v>0</v>
      </c>
      <c r="BP33">
        <v>69325929</v>
      </c>
      <c r="BQ33">
        <v>0</v>
      </c>
      <c r="BR33">
        <v>9379285</v>
      </c>
      <c r="BS33" s="180">
        <v>0</v>
      </c>
      <c r="BT33" s="180">
        <v>0</v>
      </c>
      <c r="BU33" s="180">
        <v>327342</v>
      </c>
      <c r="BV33" s="180">
        <v>0</v>
      </c>
      <c r="BW33" s="180">
        <v>0</v>
      </c>
      <c r="BX33" s="180">
        <v>0</v>
      </c>
      <c r="BY33" s="180">
        <v>0</v>
      </c>
      <c r="BZ33" s="180">
        <v>248603</v>
      </c>
      <c r="CA33" s="180">
        <v>0</v>
      </c>
      <c r="CB33" s="180">
        <v>0</v>
      </c>
      <c r="CC33" s="180">
        <v>0</v>
      </c>
      <c r="CD33" s="180">
        <v>8619279</v>
      </c>
      <c r="CE33" s="180"/>
      <c r="CF33" s="180"/>
      <c r="CG33" s="180"/>
      <c r="CH33" s="180"/>
      <c r="CI33" s="180"/>
      <c r="CJ33" s="180"/>
      <c r="CK33" s="180"/>
      <c r="CL33" s="180"/>
      <c r="CM33" s="180"/>
      <c r="CN33" s="180"/>
      <c r="CO33" s="180"/>
      <c r="CP33" s="180"/>
      <c r="CQ33" s="180"/>
      <c r="CR33" s="180"/>
      <c r="CS33" s="180"/>
      <c r="CT33" s="180"/>
      <c r="CU33" s="180"/>
    </row>
    <row r="34" spans="1:99" x14ac:dyDescent="0.3">
      <c r="A34">
        <v>91</v>
      </c>
      <c r="B34" t="s">
        <v>215</v>
      </c>
      <c r="E34">
        <v>0</v>
      </c>
      <c r="F34">
        <v>0</v>
      </c>
      <c r="G34">
        <v>0</v>
      </c>
      <c r="H34">
        <v>0</v>
      </c>
      <c r="I34">
        <v>0</v>
      </c>
      <c r="J34">
        <v>0</v>
      </c>
      <c r="K34">
        <v>0</v>
      </c>
      <c r="L34">
        <v>817225</v>
      </c>
      <c r="M34" s="551">
        <v>0</v>
      </c>
      <c r="N34">
        <v>0</v>
      </c>
      <c r="O34">
        <v>0</v>
      </c>
      <c r="P34">
        <v>0</v>
      </c>
      <c r="Q34">
        <v>1505237</v>
      </c>
      <c r="R34">
        <v>0</v>
      </c>
      <c r="S34">
        <v>45536</v>
      </c>
      <c r="T34">
        <v>0</v>
      </c>
      <c r="U34">
        <v>0</v>
      </c>
      <c r="V34">
        <v>0</v>
      </c>
      <c r="W34">
        <v>0</v>
      </c>
      <c r="X34">
        <v>0</v>
      </c>
      <c r="Y34">
        <v>110205</v>
      </c>
      <c r="Z34">
        <v>0</v>
      </c>
      <c r="AA34">
        <v>0</v>
      </c>
      <c r="AB34">
        <v>0</v>
      </c>
      <c r="AC34">
        <v>0</v>
      </c>
      <c r="AD34">
        <v>0</v>
      </c>
      <c r="AF34">
        <v>7750081</v>
      </c>
      <c r="AG34">
        <v>0</v>
      </c>
      <c r="AH34">
        <v>0</v>
      </c>
      <c r="AI34">
        <v>0</v>
      </c>
      <c r="AJ34">
        <v>0</v>
      </c>
      <c r="AK34">
        <v>0</v>
      </c>
      <c r="AL34">
        <v>0</v>
      </c>
      <c r="AM34">
        <v>0</v>
      </c>
      <c r="AN34">
        <v>0</v>
      </c>
      <c r="AO34">
        <v>0</v>
      </c>
      <c r="AP34">
        <v>837475</v>
      </c>
      <c r="AQ34">
        <v>0</v>
      </c>
      <c r="AR34">
        <v>0</v>
      </c>
      <c r="AS34">
        <v>0</v>
      </c>
      <c r="AT34">
        <v>0</v>
      </c>
      <c r="AU34">
        <v>0</v>
      </c>
      <c r="AV34">
        <v>16782072</v>
      </c>
      <c r="AW34">
        <v>0</v>
      </c>
      <c r="AX34">
        <v>0</v>
      </c>
      <c r="AY34">
        <v>0</v>
      </c>
      <c r="BA34">
        <v>15983</v>
      </c>
      <c r="BB34">
        <v>0</v>
      </c>
      <c r="BC34">
        <v>0</v>
      </c>
      <c r="BD34">
        <v>0</v>
      </c>
      <c r="BE34">
        <v>0</v>
      </c>
      <c r="BF34">
        <v>0</v>
      </c>
      <c r="BG34">
        <v>0</v>
      </c>
      <c r="BH34">
        <v>0</v>
      </c>
      <c r="BI34">
        <v>0</v>
      </c>
      <c r="BJ34">
        <v>0</v>
      </c>
      <c r="BK34">
        <v>0</v>
      </c>
      <c r="BL34">
        <v>0</v>
      </c>
      <c r="BM34">
        <v>0</v>
      </c>
      <c r="BN34">
        <v>496313</v>
      </c>
      <c r="BO34">
        <v>0</v>
      </c>
      <c r="BP34">
        <v>10952150</v>
      </c>
      <c r="BQ34">
        <v>0</v>
      </c>
      <c r="BR34">
        <v>614470</v>
      </c>
      <c r="BS34" s="180">
        <v>0</v>
      </c>
      <c r="BT34" s="180">
        <v>0</v>
      </c>
      <c r="BU34" s="180">
        <v>78081</v>
      </c>
      <c r="BV34" s="180">
        <v>0</v>
      </c>
      <c r="BW34" s="180">
        <v>0</v>
      </c>
      <c r="BX34" s="180">
        <v>0</v>
      </c>
      <c r="BY34" s="180">
        <v>0</v>
      </c>
      <c r="BZ34" s="180">
        <v>73840</v>
      </c>
      <c r="CA34" s="180">
        <v>0</v>
      </c>
      <c r="CB34" s="180">
        <v>0</v>
      </c>
      <c r="CC34" s="180">
        <v>0</v>
      </c>
      <c r="CD34" s="180">
        <v>2706391</v>
      </c>
      <c r="CE34" s="180"/>
      <c r="CF34" s="180"/>
      <c r="CG34" s="180"/>
      <c r="CH34" s="180"/>
      <c r="CI34" s="180"/>
      <c r="CJ34" s="180"/>
      <c r="CK34" s="180"/>
      <c r="CL34" s="180"/>
      <c r="CM34" s="180"/>
      <c r="CN34" s="180"/>
      <c r="CO34" s="180"/>
      <c r="CP34" s="180"/>
      <c r="CQ34" s="180"/>
      <c r="CR34" s="180"/>
      <c r="CS34" s="180"/>
      <c r="CT34" s="180"/>
      <c r="CU34" s="180"/>
    </row>
    <row r="35" spans="1:99" x14ac:dyDescent="0.3">
      <c r="A35">
        <v>93</v>
      </c>
      <c r="B35" t="s">
        <v>228</v>
      </c>
      <c r="E35">
        <v>0</v>
      </c>
      <c r="F35">
        <v>0</v>
      </c>
      <c r="G35">
        <v>0</v>
      </c>
      <c r="H35">
        <v>0</v>
      </c>
      <c r="I35">
        <v>0</v>
      </c>
      <c r="J35">
        <v>0</v>
      </c>
      <c r="K35">
        <v>0</v>
      </c>
      <c r="L35">
        <v>6384864</v>
      </c>
      <c r="M35" s="551">
        <v>0</v>
      </c>
      <c r="N35">
        <v>0</v>
      </c>
      <c r="O35">
        <v>0</v>
      </c>
      <c r="P35">
        <v>0</v>
      </c>
      <c r="Q35">
        <v>10617600</v>
      </c>
      <c r="R35">
        <v>0</v>
      </c>
      <c r="S35">
        <v>681366</v>
      </c>
      <c r="T35">
        <v>0</v>
      </c>
      <c r="U35">
        <v>0</v>
      </c>
      <c r="V35">
        <v>0</v>
      </c>
      <c r="W35">
        <v>0</v>
      </c>
      <c r="X35">
        <v>0</v>
      </c>
      <c r="Y35">
        <v>1529921</v>
      </c>
      <c r="Z35">
        <v>0</v>
      </c>
      <c r="AA35">
        <v>0</v>
      </c>
      <c r="AB35">
        <v>0</v>
      </c>
      <c r="AC35">
        <v>0</v>
      </c>
      <c r="AD35">
        <v>0</v>
      </c>
      <c r="AF35">
        <v>76144472</v>
      </c>
      <c r="AG35">
        <v>0</v>
      </c>
      <c r="AH35">
        <v>0</v>
      </c>
      <c r="AI35">
        <v>0</v>
      </c>
      <c r="AJ35">
        <v>0</v>
      </c>
      <c r="AK35">
        <v>0</v>
      </c>
      <c r="AL35">
        <v>0</v>
      </c>
      <c r="AM35">
        <v>0</v>
      </c>
      <c r="AN35">
        <v>0</v>
      </c>
      <c r="AO35">
        <v>0</v>
      </c>
      <c r="AP35">
        <v>6930946</v>
      </c>
      <c r="AQ35">
        <v>0</v>
      </c>
      <c r="AR35">
        <v>0</v>
      </c>
      <c r="AS35">
        <v>0</v>
      </c>
      <c r="AT35">
        <v>0</v>
      </c>
      <c r="AU35">
        <v>0</v>
      </c>
      <c r="AV35">
        <v>171728135</v>
      </c>
      <c r="AW35">
        <v>0</v>
      </c>
      <c r="AX35">
        <v>0</v>
      </c>
      <c r="AY35">
        <v>0</v>
      </c>
      <c r="BA35">
        <v>473616</v>
      </c>
      <c r="BB35">
        <v>0</v>
      </c>
      <c r="BC35">
        <v>0</v>
      </c>
      <c r="BD35">
        <v>0</v>
      </c>
      <c r="BE35">
        <v>0</v>
      </c>
      <c r="BF35">
        <v>0</v>
      </c>
      <c r="BG35">
        <v>0</v>
      </c>
      <c r="BH35">
        <v>0</v>
      </c>
      <c r="BI35">
        <v>0</v>
      </c>
      <c r="BJ35">
        <v>0</v>
      </c>
      <c r="BK35">
        <v>0</v>
      </c>
      <c r="BL35">
        <v>0</v>
      </c>
      <c r="BM35">
        <v>0</v>
      </c>
      <c r="BN35">
        <v>3092370</v>
      </c>
      <c r="BO35">
        <v>0</v>
      </c>
      <c r="BP35">
        <v>121393822</v>
      </c>
      <c r="BQ35">
        <v>0</v>
      </c>
      <c r="BR35">
        <v>6236843</v>
      </c>
      <c r="BS35" s="180">
        <v>0</v>
      </c>
      <c r="BT35" s="180">
        <v>0</v>
      </c>
      <c r="BU35" s="180">
        <v>498381</v>
      </c>
      <c r="BV35" s="180">
        <v>0</v>
      </c>
      <c r="BW35" s="180">
        <v>0</v>
      </c>
      <c r="BX35" s="180">
        <v>0</v>
      </c>
      <c r="BY35" s="180">
        <v>0</v>
      </c>
      <c r="BZ35" s="180">
        <v>860347</v>
      </c>
      <c r="CA35" s="180">
        <v>0</v>
      </c>
      <c r="CB35" s="180">
        <v>0</v>
      </c>
      <c r="CC35" s="180">
        <v>0</v>
      </c>
      <c r="CD35" s="180">
        <v>26540134</v>
      </c>
      <c r="CE35" s="180"/>
      <c r="CF35" s="180"/>
      <c r="CG35" s="180"/>
      <c r="CH35" s="180"/>
      <c r="CI35" s="180"/>
      <c r="CJ35" s="180"/>
      <c r="CK35" s="180"/>
      <c r="CL35" s="180"/>
      <c r="CM35" s="180"/>
      <c r="CN35" s="180"/>
      <c r="CO35" s="180"/>
      <c r="CP35" s="180"/>
      <c r="CQ35" s="180"/>
      <c r="CR35" s="180"/>
      <c r="CS35" s="180"/>
      <c r="CT35" s="180"/>
      <c r="CU35" s="180"/>
    </row>
    <row r="36" spans="1:99" x14ac:dyDescent="0.3">
      <c r="A36">
        <v>94</v>
      </c>
      <c r="B36" t="s">
        <v>231</v>
      </c>
      <c r="E36">
        <v>0</v>
      </c>
      <c r="F36">
        <v>0</v>
      </c>
      <c r="G36">
        <v>0</v>
      </c>
      <c r="H36">
        <v>0</v>
      </c>
      <c r="I36">
        <v>0</v>
      </c>
      <c r="J36">
        <v>0</v>
      </c>
      <c r="K36">
        <v>0</v>
      </c>
      <c r="L36">
        <v>5803853</v>
      </c>
      <c r="M36" s="551">
        <v>0</v>
      </c>
      <c r="N36">
        <v>0</v>
      </c>
      <c r="O36">
        <v>0</v>
      </c>
      <c r="P36">
        <v>0</v>
      </c>
      <c r="Q36">
        <v>9285556</v>
      </c>
      <c r="R36">
        <v>0</v>
      </c>
      <c r="S36">
        <v>677717</v>
      </c>
      <c r="T36">
        <v>0</v>
      </c>
      <c r="U36">
        <v>0</v>
      </c>
      <c r="V36">
        <v>0</v>
      </c>
      <c r="W36">
        <v>0</v>
      </c>
      <c r="X36">
        <v>0</v>
      </c>
      <c r="Y36">
        <v>1444643</v>
      </c>
      <c r="Z36">
        <v>0</v>
      </c>
      <c r="AA36">
        <v>0</v>
      </c>
      <c r="AB36">
        <v>0</v>
      </c>
      <c r="AC36">
        <v>0</v>
      </c>
      <c r="AD36">
        <v>0</v>
      </c>
      <c r="AF36">
        <v>63951509</v>
      </c>
      <c r="AG36">
        <v>0</v>
      </c>
      <c r="AH36">
        <v>0</v>
      </c>
      <c r="AI36">
        <v>0</v>
      </c>
      <c r="AJ36">
        <v>0</v>
      </c>
      <c r="AK36">
        <v>0</v>
      </c>
      <c r="AL36">
        <v>0</v>
      </c>
      <c r="AM36">
        <v>0</v>
      </c>
      <c r="AN36">
        <v>0</v>
      </c>
      <c r="AO36">
        <v>0</v>
      </c>
      <c r="AP36">
        <v>6460016</v>
      </c>
      <c r="AQ36">
        <v>0</v>
      </c>
      <c r="AR36">
        <v>0</v>
      </c>
      <c r="AS36">
        <v>0</v>
      </c>
      <c r="AT36">
        <v>0</v>
      </c>
      <c r="AU36">
        <v>0</v>
      </c>
      <c r="AV36">
        <v>171799153</v>
      </c>
      <c r="AW36">
        <v>0</v>
      </c>
      <c r="AX36">
        <v>0</v>
      </c>
      <c r="AY36">
        <v>0</v>
      </c>
      <c r="BA36">
        <v>364863</v>
      </c>
      <c r="BB36">
        <v>0</v>
      </c>
      <c r="BC36">
        <v>0</v>
      </c>
      <c r="BD36">
        <v>0</v>
      </c>
      <c r="BE36">
        <v>0</v>
      </c>
      <c r="BF36">
        <v>0</v>
      </c>
      <c r="BG36">
        <v>0</v>
      </c>
      <c r="BH36">
        <v>0</v>
      </c>
      <c r="BI36">
        <v>0</v>
      </c>
      <c r="BJ36">
        <v>0</v>
      </c>
      <c r="BK36">
        <v>0</v>
      </c>
      <c r="BL36">
        <v>0</v>
      </c>
      <c r="BM36">
        <v>0</v>
      </c>
      <c r="BN36">
        <v>3173811</v>
      </c>
      <c r="BO36">
        <v>0</v>
      </c>
      <c r="BP36">
        <v>112754962</v>
      </c>
      <c r="BQ36">
        <v>0</v>
      </c>
      <c r="BR36">
        <v>5400478</v>
      </c>
      <c r="BS36" s="180">
        <v>0</v>
      </c>
      <c r="BT36" s="180">
        <v>0</v>
      </c>
      <c r="BU36" s="180">
        <v>509833</v>
      </c>
      <c r="BV36" s="180">
        <v>0</v>
      </c>
      <c r="BW36" s="180">
        <v>0</v>
      </c>
      <c r="BX36" s="180">
        <v>0</v>
      </c>
      <c r="BY36" s="180">
        <v>0</v>
      </c>
      <c r="BZ36" s="180">
        <v>893876</v>
      </c>
      <c r="CA36" s="180">
        <v>0</v>
      </c>
      <c r="CB36" s="180">
        <v>0</v>
      </c>
      <c r="CC36" s="180">
        <v>0</v>
      </c>
      <c r="CD36" s="180">
        <v>23044975</v>
      </c>
      <c r="CE36" s="180"/>
      <c r="CF36" s="180"/>
      <c r="CG36" s="180"/>
      <c r="CH36" s="180"/>
      <c r="CI36" s="180"/>
      <c r="CJ36" s="180"/>
      <c r="CK36" s="180"/>
      <c r="CL36" s="180"/>
      <c r="CM36" s="180"/>
      <c r="CN36" s="180"/>
      <c r="CO36" s="180"/>
      <c r="CP36" s="180"/>
      <c r="CQ36" s="180"/>
      <c r="CR36" s="180"/>
      <c r="CS36" s="180"/>
      <c r="CT36" s="180"/>
      <c r="CU36" s="180"/>
    </row>
    <row r="37" spans="1:99" x14ac:dyDescent="0.3">
      <c r="A37">
        <v>97</v>
      </c>
      <c r="B37" t="s">
        <v>227</v>
      </c>
      <c r="E37">
        <v>0</v>
      </c>
      <c r="F37">
        <v>0</v>
      </c>
      <c r="G37">
        <v>0</v>
      </c>
      <c r="H37">
        <v>0</v>
      </c>
      <c r="I37">
        <v>0</v>
      </c>
      <c r="J37">
        <v>0</v>
      </c>
      <c r="K37">
        <v>0</v>
      </c>
      <c r="L37">
        <v>6292723</v>
      </c>
      <c r="M37" s="551">
        <v>0</v>
      </c>
      <c r="N37">
        <v>0</v>
      </c>
      <c r="O37">
        <v>0</v>
      </c>
      <c r="P37">
        <v>0</v>
      </c>
      <c r="Q37">
        <v>10292254</v>
      </c>
      <c r="R37">
        <v>0</v>
      </c>
      <c r="S37">
        <v>613343</v>
      </c>
      <c r="T37">
        <v>0</v>
      </c>
      <c r="U37">
        <v>0</v>
      </c>
      <c r="V37">
        <v>0</v>
      </c>
      <c r="W37">
        <v>0</v>
      </c>
      <c r="X37">
        <v>0</v>
      </c>
      <c r="Y37">
        <v>1493583</v>
      </c>
      <c r="Z37">
        <v>0</v>
      </c>
      <c r="AA37">
        <v>0</v>
      </c>
      <c r="AB37">
        <v>0</v>
      </c>
      <c r="AC37">
        <v>0</v>
      </c>
      <c r="AD37">
        <v>0</v>
      </c>
      <c r="AF37">
        <v>73267225</v>
      </c>
      <c r="AG37">
        <v>0</v>
      </c>
      <c r="AH37">
        <v>0</v>
      </c>
      <c r="AI37">
        <v>0</v>
      </c>
      <c r="AJ37">
        <v>0</v>
      </c>
      <c r="AK37">
        <v>0</v>
      </c>
      <c r="AL37">
        <v>0</v>
      </c>
      <c r="AM37">
        <v>0</v>
      </c>
      <c r="AN37">
        <v>0</v>
      </c>
      <c r="AO37">
        <v>0</v>
      </c>
      <c r="AP37">
        <v>6774217</v>
      </c>
      <c r="AQ37">
        <v>0</v>
      </c>
      <c r="AR37">
        <v>0</v>
      </c>
      <c r="AS37">
        <v>0</v>
      </c>
      <c r="AT37">
        <v>0</v>
      </c>
      <c r="AU37">
        <v>0</v>
      </c>
      <c r="AV37">
        <v>171214255</v>
      </c>
      <c r="AW37">
        <v>0</v>
      </c>
      <c r="AX37">
        <v>0</v>
      </c>
      <c r="AY37">
        <v>0</v>
      </c>
      <c r="BA37">
        <v>465299</v>
      </c>
      <c r="BB37">
        <v>0</v>
      </c>
      <c r="BC37">
        <v>0</v>
      </c>
      <c r="BD37">
        <v>0</v>
      </c>
      <c r="BE37">
        <v>0</v>
      </c>
      <c r="BF37">
        <v>0</v>
      </c>
      <c r="BG37">
        <v>0</v>
      </c>
      <c r="BH37">
        <v>0</v>
      </c>
      <c r="BI37">
        <v>0</v>
      </c>
      <c r="BJ37">
        <v>0</v>
      </c>
      <c r="BK37">
        <v>0</v>
      </c>
      <c r="BL37">
        <v>0</v>
      </c>
      <c r="BM37">
        <v>0</v>
      </c>
      <c r="BN37">
        <v>2807921</v>
      </c>
      <c r="BO37">
        <v>0</v>
      </c>
      <c r="BP37">
        <v>121287004</v>
      </c>
      <c r="BQ37">
        <v>0</v>
      </c>
      <c r="BR37">
        <v>6104015</v>
      </c>
      <c r="BS37" s="180">
        <v>0</v>
      </c>
      <c r="BT37" s="180">
        <v>0</v>
      </c>
      <c r="BU37" s="180">
        <v>487164</v>
      </c>
      <c r="BV37" s="180">
        <v>0</v>
      </c>
      <c r="BW37" s="180">
        <v>0</v>
      </c>
      <c r="BX37" s="180">
        <v>0</v>
      </c>
      <c r="BY37" s="180">
        <v>0</v>
      </c>
      <c r="BZ37" s="180">
        <v>835084</v>
      </c>
      <c r="CA37" s="180">
        <v>0</v>
      </c>
      <c r="CB37" s="180">
        <v>0</v>
      </c>
      <c r="CC37" s="180">
        <v>0</v>
      </c>
      <c r="CD37" s="180">
        <v>24961456</v>
      </c>
      <c r="CE37" s="180"/>
      <c r="CF37" s="180"/>
      <c r="CG37" s="180"/>
      <c r="CH37" s="180"/>
      <c r="CI37" s="180"/>
      <c r="CJ37" s="180"/>
      <c r="CK37" s="180"/>
      <c r="CL37" s="180"/>
      <c r="CM37" s="180"/>
      <c r="CN37" s="180"/>
      <c r="CO37" s="180"/>
      <c r="CP37" s="180"/>
      <c r="CQ37" s="180"/>
      <c r="CR37" s="180"/>
      <c r="CS37" s="180"/>
      <c r="CT37" s="180"/>
      <c r="CU37" s="180"/>
    </row>
    <row r="38" spans="1:99" x14ac:dyDescent="0.3">
      <c r="A38">
        <v>98</v>
      </c>
      <c r="B38" t="s">
        <v>232</v>
      </c>
      <c r="E38">
        <v>0</v>
      </c>
      <c r="F38">
        <v>0</v>
      </c>
      <c r="G38">
        <v>0</v>
      </c>
      <c r="H38">
        <v>0</v>
      </c>
      <c r="I38">
        <v>0</v>
      </c>
      <c r="J38">
        <v>0</v>
      </c>
      <c r="K38">
        <v>0</v>
      </c>
      <c r="L38">
        <v>1100</v>
      </c>
      <c r="M38" s="551">
        <v>0</v>
      </c>
      <c r="N38">
        <v>0</v>
      </c>
      <c r="O38">
        <v>0</v>
      </c>
      <c r="P38">
        <v>0</v>
      </c>
      <c r="Q38">
        <v>5178</v>
      </c>
      <c r="R38">
        <v>0</v>
      </c>
      <c r="S38">
        <v>0</v>
      </c>
      <c r="T38">
        <v>0</v>
      </c>
      <c r="U38">
        <v>0</v>
      </c>
      <c r="V38">
        <v>0</v>
      </c>
      <c r="W38">
        <v>0</v>
      </c>
      <c r="X38">
        <v>0</v>
      </c>
      <c r="Y38">
        <v>0</v>
      </c>
      <c r="Z38">
        <v>0</v>
      </c>
      <c r="AA38">
        <v>0</v>
      </c>
      <c r="AB38">
        <v>0</v>
      </c>
      <c r="AC38">
        <v>0</v>
      </c>
      <c r="AD38">
        <v>0</v>
      </c>
      <c r="AF38">
        <v>11030</v>
      </c>
      <c r="AG38">
        <v>0</v>
      </c>
      <c r="AH38">
        <v>0</v>
      </c>
      <c r="AI38">
        <v>0</v>
      </c>
      <c r="AJ38">
        <v>0</v>
      </c>
      <c r="AK38">
        <v>0</v>
      </c>
      <c r="AL38">
        <v>0</v>
      </c>
      <c r="AM38">
        <v>0</v>
      </c>
      <c r="AN38">
        <v>0</v>
      </c>
      <c r="AO38">
        <v>0</v>
      </c>
      <c r="AP38">
        <v>20</v>
      </c>
      <c r="AQ38">
        <v>0</v>
      </c>
      <c r="AR38">
        <v>0</v>
      </c>
      <c r="AS38">
        <v>0</v>
      </c>
      <c r="AT38">
        <v>0</v>
      </c>
      <c r="AU38">
        <v>0</v>
      </c>
      <c r="AV38">
        <v>2640134</v>
      </c>
      <c r="AW38">
        <v>0</v>
      </c>
      <c r="AX38">
        <v>0</v>
      </c>
      <c r="AY38">
        <v>0</v>
      </c>
      <c r="BA38">
        <v>0</v>
      </c>
      <c r="BB38">
        <v>0</v>
      </c>
      <c r="BC38">
        <v>0</v>
      </c>
      <c r="BD38">
        <v>0</v>
      </c>
      <c r="BE38">
        <v>0</v>
      </c>
      <c r="BF38">
        <v>0</v>
      </c>
      <c r="BG38">
        <v>0</v>
      </c>
      <c r="BH38">
        <v>0</v>
      </c>
      <c r="BI38">
        <v>0</v>
      </c>
      <c r="BJ38">
        <v>0</v>
      </c>
      <c r="BK38">
        <v>0</v>
      </c>
      <c r="BL38">
        <v>0</v>
      </c>
      <c r="BM38">
        <v>0</v>
      </c>
      <c r="BN38">
        <v>7063</v>
      </c>
      <c r="BO38">
        <v>0</v>
      </c>
      <c r="BP38">
        <v>235</v>
      </c>
      <c r="BQ38">
        <v>0</v>
      </c>
      <c r="BR38">
        <v>0</v>
      </c>
      <c r="BS38" s="180">
        <v>0</v>
      </c>
      <c r="BT38" s="180">
        <v>0</v>
      </c>
      <c r="BU38" s="180">
        <v>0</v>
      </c>
      <c r="BV38" s="180">
        <v>0</v>
      </c>
      <c r="BW38" s="180">
        <v>0</v>
      </c>
      <c r="BX38" s="180">
        <v>0</v>
      </c>
      <c r="BY38" s="180">
        <v>0</v>
      </c>
      <c r="BZ38" s="180">
        <v>692</v>
      </c>
      <c r="CA38" s="180">
        <v>0</v>
      </c>
      <c r="CB38" s="180">
        <v>0</v>
      </c>
      <c r="CC38" s="180">
        <v>0</v>
      </c>
      <c r="CD38" s="180">
        <v>58</v>
      </c>
      <c r="CE38" s="180"/>
      <c r="CF38" s="180"/>
      <c r="CG38" s="180"/>
      <c r="CH38" s="180"/>
      <c r="CI38" s="180"/>
      <c r="CJ38" s="180"/>
      <c r="CK38" s="180"/>
      <c r="CL38" s="180"/>
      <c r="CM38" s="180"/>
      <c r="CN38" s="180"/>
      <c r="CO38" s="180"/>
      <c r="CP38" s="180"/>
      <c r="CQ38" s="180"/>
      <c r="CR38" s="180"/>
      <c r="CS38" s="180"/>
      <c r="CT38" s="180"/>
      <c r="CU38" s="180"/>
    </row>
    <row r="39" spans="1:99" x14ac:dyDescent="0.3">
      <c r="A39">
        <v>99</v>
      </c>
      <c r="B39" t="s">
        <v>229</v>
      </c>
      <c r="E39">
        <v>0</v>
      </c>
      <c r="F39">
        <v>0</v>
      </c>
      <c r="G39">
        <v>0</v>
      </c>
      <c r="H39">
        <v>0</v>
      </c>
      <c r="I39">
        <v>0</v>
      </c>
      <c r="J39">
        <v>0</v>
      </c>
      <c r="K39">
        <v>0</v>
      </c>
      <c r="L39">
        <v>4115471</v>
      </c>
      <c r="M39" s="551">
        <v>0</v>
      </c>
      <c r="N39">
        <v>0</v>
      </c>
      <c r="O39">
        <v>0</v>
      </c>
      <c r="P39">
        <v>0</v>
      </c>
      <c r="Q39">
        <v>5808592</v>
      </c>
      <c r="R39">
        <v>0</v>
      </c>
      <c r="S39">
        <v>351041</v>
      </c>
      <c r="T39">
        <v>0</v>
      </c>
      <c r="U39">
        <v>0</v>
      </c>
      <c r="V39">
        <v>0</v>
      </c>
      <c r="W39">
        <v>0</v>
      </c>
      <c r="X39">
        <v>0</v>
      </c>
      <c r="Y39">
        <v>1050198</v>
      </c>
      <c r="Z39">
        <v>0</v>
      </c>
      <c r="AA39">
        <v>0</v>
      </c>
      <c r="AB39">
        <v>0</v>
      </c>
      <c r="AC39">
        <v>0</v>
      </c>
      <c r="AD39">
        <v>0</v>
      </c>
      <c r="AF39">
        <v>48691692</v>
      </c>
      <c r="AG39">
        <v>0</v>
      </c>
      <c r="AH39">
        <v>0</v>
      </c>
      <c r="AI39">
        <v>0</v>
      </c>
      <c r="AJ39">
        <v>0</v>
      </c>
      <c r="AK39">
        <v>0</v>
      </c>
      <c r="AL39">
        <v>0</v>
      </c>
      <c r="AM39">
        <v>0</v>
      </c>
      <c r="AN39">
        <v>0</v>
      </c>
      <c r="AO39">
        <v>0</v>
      </c>
      <c r="AP39">
        <v>4106726</v>
      </c>
      <c r="AQ39">
        <v>0</v>
      </c>
      <c r="AR39">
        <v>0</v>
      </c>
      <c r="AS39">
        <v>0</v>
      </c>
      <c r="AT39">
        <v>0</v>
      </c>
      <c r="AU39">
        <v>0</v>
      </c>
      <c r="AV39">
        <v>123403756</v>
      </c>
      <c r="AW39">
        <v>0</v>
      </c>
      <c r="AX39">
        <v>0</v>
      </c>
      <c r="AY39">
        <v>0</v>
      </c>
      <c r="BA39">
        <v>270632</v>
      </c>
      <c r="BB39">
        <v>0</v>
      </c>
      <c r="BC39">
        <v>0</v>
      </c>
      <c r="BD39">
        <v>0</v>
      </c>
      <c r="BE39">
        <v>0</v>
      </c>
      <c r="BF39">
        <v>0</v>
      </c>
      <c r="BG39">
        <v>0</v>
      </c>
      <c r="BH39">
        <v>0</v>
      </c>
      <c r="BI39">
        <v>0</v>
      </c>
      <c r="BJ39">
        <v>0</v>
      </c>
      <c r="BK39">
        <v>0</v>
      </c>
      <c r="BL39">
        <v>0</v>
      </c>
      <c r="BM39">
        <v>0</v>
      </c>
      <c r="BN39">
        <v>2129285</v>
      </c>
      <c r="BO39">
        <v>0</v>
      </c>
      <c r="BP39">
        <v>79988439</v>
      </c>
      <c r="BQ39">
        <v>0</v>
      </c>
      <c r="BR39">
        <v>3632674</v>
      </c>
      <c r="BS39" s="180">
        <v>0</v>
      </c>
      <c r="BT39" s="180">
        <v>0</v>
      </c>
      <c r="BU39" s="180">
        <v>316342</v>
      </c>
      <c r="BV39" s="180">
        <v>0</v>
      </c>
      <c r="BW39" s="180">
        <v>0</v>
      </c>
      <c r="BX39" s="180">
        <v>0</v>
      </c>
      <c r="BY39" s="180">
        <v>0</v>
      </c>
      <c r="BZ39" s="180">
        <v>547683</v>
      </c>
      <c r="CA39" s="180">
        <v>0</v>
      </c>
      <c r="CB39" s="180">
        <v>0</v>
      </c>
      <c r="CC39" s="180">
        <v>0</v>
      </c>
      <c r="CD39" s="180">
        <v>17769330</v>
      </c>
      <c r="CE39" s="180"/>
      <c r="CF39" s="180"/>
      <c r="CG39" s="180"/>
      <c r="CH39" s="180"/>
      <c r="CI39" s="180"/>
      <c r="CJ39" s="180"/>
      <c r="CK39" s="180"/>
      <c r="CL39" s="180"/>
      <c r="CM39" s="180"/>
      <c r="CN39" s="180"/>
      <c r="CO39" s="180"/>
      <c r="CP39" s="180"/>
      <c r="CQ39" s="180"/>
      <c r="CR39" s="180"/>
      <c r="CS39" s="180"/>
      <c r="CT39" s="180"/>
      <c r="CU39" s="180"/>
    </row>
    <row r="40" spans="1:99" x14ac:dyDescent="0.3">
      <c r="A40">
        <v>100</v>
      </c>
      <c r="B40" t="s">
        <v>242</v>
      </c>
      <c r="E40">
        <v>0</v>
      </c>
      <c r="F40">
        <v>0</v>
      </c>
      <c r="G40">
        <v>0</v>
      </c>
      <c r="H40">
        <v>0</v>
      </c>
      <c r="I40">
        <v>0</v>
      </c>
      <c r="J40">
        <v>0</v>
      </c>
      <c r="K40">
        <v>0</v>
      </c>
      <c r="L40">
        <v>10252</v>
      </c>
      <c r="M40" s="551">
        <v>0</v>
      </c>
      <c r="N40">
        <v>0</v>
      </c>
      <c r="O40">
        <v>0</v>
      </c>
      <c r="P40">
        <v>0</v>
      </c>
      <c r="Q40">
        <v>1732</v>
      </c>
      <c r="R40">
        <v>0</v>
      </c>
      <c r="S40">
        <v>0</v>
      </c>
      <c r="T40">
        <v>0</v>
      </c>
      <c r="U40">
        <v>0</v>
      </c>
      <c r="V40">
        <v>0</v>
      </c>
      <c r="W40">
        <v>0</v>
      </c>
      <c r="X40">
        <v>0</v>
      </c>
      <c r="Y40">
        <v>0</v>
      </c>
      <c r="Z40">
        <v>0</v>
      </c>
      <c r="AA40">
        <v>0</v>
      </c>
      <c r="AB40">
        <v>0</v>
      </c>
      <c r="AC40">
        <v>0</v>
      </c>
      <c r="AD40">
        <v>0</v>
      </c>
      <c r="AF40">
        <v>48153</v>
      </c>
      <c r="AG40">
        <v>0</v>
      </c>
      <c r="AH40">
        <v>0</v>
      </c>
      <c r="AI40">
        <v>0</v>
      </c>
      <c r="AJ40">
        <v>0</v>
      </c>
      <c r="AK40">
        <v>0</v>
      </c>
      <c r="AL40">
        <v>0</v>
      </c>
      <c r="AM40">
        <v>0</v>
      </c>
      <c r="AN40">
        <v>0</v>
      </c>
      <c r="AO40">
        <v>0</v>
      </c>
      <c r="AP40">
        <v>842</v>
      </c>
      <c r="AQ40">
        <v>0</v>
      </c>
      <c r="AR40">
        <v>0</v>
      </c>
      <c r="AS40">
        <v>0</v>
      </c>
      <c r="AT40">
        <v>0</v>
      </c>
      <c r="AU40">
        <v>0</v>
      </c>
      <c r="AV40">
        <v>1654211</v>
      </c>
      <c r="AW40">
        <v>0</v>
      </c>
      <c r="AX40">
        <v>0</v>
      </c>
      <c r="AY40">
        <v>0</v>
      </c>
      <c r="BA40">
        <v>0</v>
      </c>
      <c r="BB40">
        <v>0</v>
      </c>
      <c r="BC40">
        <v>0</v>
      </c>
      <c r="BD40">
        <v>0</v>
      </c>
      <c r="BE40">
        <v>0</v>
      </c>
      <c r="BF40">
        <v>0</v>
      </c>
      <c r="BG40">
        <v>0</v>
      </c>
      <c r="BH40">
        <v>0</v>
      </c>
      <c r="BI40">
        <v>0</v>
      </c>
      <c r="BJ40">
        <v>0</v>
      </c>
      <c r="BK40">
        <v>0</v>
      </c>
      <c r="BL40">
        <v>0</v>
      </c>
      <c r="BM40">
        <v>0</v>
      </c>
      <c r="BN40">
        <v>11453</v>
      </c>
      <c r="BO40">
        <v>0</v>
      </c>
      <c r="BP40">
        <v>64907</v>
      </c>
      <c r="BQ40">
        <v>0</v>
      </c>
      <c r="BR40">
        <v>0</v>
      </c>
      <c r="BS40" s="180">
        <v>0</v>
      </c>
      <c r="BT40" s="180">
        <v>0</v>
      </c>
      <c r="BU40" s="180">
        <v>0</v>
      </c>
      <c r="BV40" s="180">
        <v>0</v>
      </c>
      <c r="BW40" s="180">
        <v>0</v>
      </c>
      <c r="BX40" s="180">
        <v>0</v>
      </c>
      <c r="BY40" s="180">
        <v>0</v>
      </c>
      <c r="BZ40" s="180">
        <v>4669</v>
      </c>
      <c r="CA40" s="180">
        <v>0</v>
      </c>
      <c r="CB40" s="180">
        <v>0</v>
      </c>
      <c r="CC40" s="180">
        <v>0</v>
      </c>
      <c r="CD40" s="180">
        <v>4297</v>
      </c>
      <c r="CE40" s="180"/>
      <c r="CF40" s="180"/>
      <c r="CG40" s="180"/>
      <c r="CH40" s="180"/>
      <c r="CI40" s="180"/>
      <c r="CJ40" s="180"/>
      <c r="CK40" s="180"/>
      <c r="CL40" s="180"/>
      <c r="CM40" s="180"/>
      <c r="CN40" s="180"/>
      <c r="CO40" s="180"/>
      <c r="CP40" s="180"/>
      <c r="CQ40" s="180"/>
      <c r="CR40" s="180"/>
      <c r="CS40" s="180"/>
      <c r="CT40" s="180"/>
      <c r="CU40" s="180"/>
    </row>
    <row r="41" spans="1:99" x14ac:dyDescent="0.3">
      <c r="A41">
        <v>101</v>
      </c>
      <c r="B41" t="s">
        <v>241</v>
      </c>
      <c r="E41">
        <v>0</v>
      </c>
      <c r="F41">
        <v>0</v>
      </c>
      <c r="G41">
        <v>0</v>
      </c>
      <c r="H41">
        <v>0</v>
      </c>
      <c r="I41">
        <v>0</v>
      </c>
      <c r="J41">
        <v>0</v>
      </c>
      <c r="K41">
        <v>0</v>
      </c>
      <c r="L41">
        <v>97552</v>
      </c>
      <c r="M41" s="551">
        <v>0</v>
      </c>
      <c r="N41">
        <v>0</v>
      </c>
      <c r="O41">
        <v>0</v>
      </c>
      <c r="P41">
        <v>0</v>
      </c>
      <c r="Q41">
        <v>205291</v>
      </c>
      <c r="R41">
        <v>0</v>
      </c>
      <c r="S41">
        <v>0</v>
      </c>
      <c r="T41">
        <v>0</v>
      </c>
      <c r="U41">
        <v>0</v>
      </c>
      <c r="V41">
        <v>0</v>
      </c>
      <c r="W41">
        <v>0</v>
      </c>
      <c r="X41">
        <v>0</v>
      </c>
      <c r="Y41">
        <v>0</v>
      </c>
      <c r="Z41">
        <v>0</v>
      </c>
      <c r="AA41">
        <v>0</v>
      </c>
      <c r="AB41">
        <v>0</v>
      </c>
      <c r="AC41">
        <v>0</v>
      </c>
      <c r="AD41">
        <v>0</v>
      </c>
      <c r="AF41">
        <v>12121385</v>
      </c>
      <c r="AG41">
        <v>0</v>
      </c>
      <c r="AH41">
        <v>0</v>
      </c>
      <c r="AI41">
        <v>0</v>
      </c>
      <c r="AJ41">
        <v>0</v>
      </c>
      <c r="AK41">
        <v>0</v>
      </c>
      <c r="AL41">
        <v>0</v>
      </c>
      <c r="AM41">
        <v>0</v>
      </c>
      <c r="AN41">
        <v>0</v>
      </c>
      <c r="AO41">
        <v>0</v>
      </c>
      <c r="AP41">
        <v>124062</v>
      </c>
      <c r="AQ41">
        <v>0</v>
      </c>
      <c r="AR41">
        <v>0</v>
      </c>
      <c r="AS41">
        <v>0</v>
      </c>
      <c r="AT41">
        <v>0</v>
      </c>
      <c r="AU41">
        <v>0</v>
      </c>
      <c r="AV41">
        <v>20397729</v>
      </c>
      <c r="AW41">
        <v>0</v>
      </c>
      <c r="AX41">
        <v>0</v>
      </c>
      <c r="AY41">
        <v>0</v>
      </c>
      <c r="BA41">
        <v>0</v>
      </c>
      <c r="BB41">
        <v>0</v>
      </c>
      <c r="BC41">
        <v>0</v>
      </c>
      <c r="BD41">
        <v>0</v>
      </c>
      <c r="BE41">
        <v>0</v>
      </c>
      <c r="BF41">
        <v>0</v>
      </c>
      <c r="BG41">
        <v>0</v>
      </c>
      <c r="BH41">
        <v>0</v>
      </c>
      <c r="BI41">
        <v>0</v>
      </c>
      <c r="BJ41">
        <v>0</v>
      </c>
      <c r="BK41">
        <v>0</v>
      </c>
      <c r="BL41">
        <v>0</v>
      </c>
      <c r="BM41">
        <v>0</v>
      </c>
      <c r="BN41">
        <v>106796</v>
      </c>
      <c r="BO41">
        <v>0</v>
      </c>
      <c r="BP41">
        <v>5889161</v>
      </c>
      <c r="BQ41">
        <v>0</v>
      </c>
      <c r="BR41">
        <v>46849</v>
      </c>
      <c r="BS41" s="180">
        <v>0</v>
      </c>
      <c r="BT41" s="180">
        <v>0</v>
      </c>
      <c r="BU41" s="180">
        <v>0</v>
      </c>
      <c r="BV41" s="180">
        <v>0</v>
      </c>
      <c r="BW41" s="180">
        <v>0</v>
      </c>
      <c r="BX41" s="180">
        <v>0</v>
      </c>
      <c r="BY41" s="180">
        <v>0</v>
      </c>
      <c r="BZ41" s="180">
        <v>0</v>
      </c>
      <c r="CA41" s="180">
        <v>0</v>
      </c>
      <c r="CB41" s="180">
        <v>0</v>
      </c>
      <c r="CC41" s="180">
        <v>0</v>
      </c>
      <c r="CD41" s="180">
        <v>3254412</v>
      </c>
      <c r="CE41" s="180"/>
      <c r="CF41" s="180"/>
      <c r="CG41" s="180"/>
      <c r="CH41" s="180"/>
      <c r="CI41" s="180"/>
      <c r="CJ41" s="180"/>
      <c r="CK41" s="180"/>
      <c r="CL41" s="180"/>
      <c r="CM41" s="180"/>
      <c r="CN41" s="180"/>
      <c r="CO41" s="180"/>
      <c r="CP41" s="180"/>
      <c r="CQ41" s="180"/>
      <c r="CR41" s="180"/>
      <c r="CS41" s="180"/>
      <c r="CT41" s="180"/>
      <c r="CU41" s="180"/>
    </row>
    <row r="42" spans="1:99" x14ac:dyDescent="0.3">
      <c r="A42">
        <v>102</v>
      </c>
      <c r="B42" t="s">
        <v>255</v>
      </c>
      <c r="E42">
        <v>89.82</v>
      </c>
      <c r="F42">
        <v>99.78</v>
      </c>
      <c r="G42">
        <v>99.8</v>
      </c>
      <c r="H42">
        <v>97.57</v>
      </c>
      <c r="I42">
        <v>100</v>
      </c>
      <c r="J42">
        <v>99.91</v>
      </c>
      <c r="K42">
        <v>97.27</v>
      </c>
      <c r="L42">
        <v>98.91</v>
      </c>
      <c r="M42">
        <v>99.5</v>
      </c>
      <c r="N42">
        <v>100</v>
      </c>
      <c r="O42">
        <v>99.79</v>
      </c>
      <c r="P42">
        <v>76.84</v>
      </c>
      <c r="Q42">
        <v>99.32</v>
      </c>
      <c r="R42">
        <v>93.3</v>
      </c>
      <c r="S42">
        <v>96.68</v>
      </c>
      <c r="T42">
        <v>99.95</v>
      </c>
      <c r="U42">
        <v>99.27</v>
      </c>
      <c r="V42">
        <v>97.35</v>
      </c>
      <c r="W42">
        <v>100</v>
      </c>
      <c r="X42">
        <v>98.66</v>
      </c>
      <c r="Y42">
        <v>95.34</v>
      </c>
      <c r="Z42">
        <v>99.79</v>
      </c>
      <c r="AA42">
        <v>0</v>
      </c>
      <c r="AB42">
        <v>93.28</v>
      </c>
      <c r="AC42">
        <v>99.72</v>
      </c>
      <c r="AD42">
        <v>96.33</v>
      </c>
      <c r="AF42">
        <v>99.15</v>
      </c>
      <c r="AG42">
        <v>98.79</v>
      </c>
      <c r="AH42">
        <v>94.65</v>
      </c>
      <c r="AI42">
        <v>99.26</v>
      </c>
      <c r="AJ42">
        <v>99.16</v>
      </c>
      <c r="AK42">
        <v>97.93</v>
      </c>
      <c r="AL42">
        <v>98.64</v>
      </c>
      <c r="AM42">
        <v>93.79</v>
      </c>
      <c r="AN42">
        <v>97.92</v>
      </c>
      <c r="AO42">
        <v>0</v>
      </c>
      <c r="AP42">
        <v>99.09</v>
      </c>
      <c r="AQ42">
        <v>98.94</v>
      </c>
      <c r="AR42">
        <v>96.3</v>
      </c>
      <c r="AS42">
        <v>96.75</v>
      </c>
      <c r="AT42">
        <v>92.45</v>
      </c>
      <c r="AU42">
        <v>99.41</v>
      </c>
      <c r="AV42">
        <v>99.57</v>
      </c>
      <c r="AW42">
        <v>96.67</v>
      </c>
      <c r="AX42">
        <v>99.12</v>
      </c>
      <c r="AY42">
        <v>97.51</v>
      </c>
      <c r="BA42">
        <v>85.2</v>
      </c>
      <c r="BB42">
        <v>93.91</v>
      </c>
      <c r="BC42">
        <v>97.75</v>
      </c>
      <c r="BD42">
        <v>98.04</v>
      </c>
      <c r="BE42">
        <v>97.71</v>
      </c>
      <c r="BF42">
        <v>99.41</v>
      </c>
      <c r="BG42">
        <v>83.5</v>
      </c>
      <c r="BH42">
        <v>99.22</v>
      </c>
      <c r="BI42">
        <v>98.32</v>
      </c>
      <c r="BJ42">
        <v>99.34</v>
      </c>
      <c r="BK42">
        <v>0</v>
      </c>
      <c r="BL42">
        <v>97.13</v>
      </c>
      <c r="BM42">
        <v>98.66</v>
      </c>
      <c r="BN42">
        <v>95.08</v>
      </c>
      <c r="BO42">
        <v>99.08</v>
      </c>
      <c r="BP42">
        <v>99.29</v>
      </c>
      <c r="BQ42">
        <v>97.9</v>
      </c>
      <c r="BR42">
        <v>99.86</v>
      </c>
      <c r="BS42" s="180">
        <v>99.39</v>
      </c>
      <c r="BT42" s="180">
        <v>99.44</v>
      </c>
      <c r="BU42" s="180">
        <v>93.84</v>
      </c>
      <c r="BV42" s="180">
        <v>85.72</v>
      </c>
      <c r="BW42" s="180">
        <v>99.19</v>
      </c>
      <c r="BX42" s="180">
        <v>99.51</v>
      </c>
      <c r="BY42" s="180">
        <v>99.89</v>
      </c>
      <c r="BZ42" s="180">
        <v>97.57</v>
      </c>
      <c r="CA42" s="180">
        <v>99.65</v>
      </c>
      <c r="CB42" s="180">
        <v>98.85</v>
      </c>
      <c r="CC42" s="180">
        <v>97.89</v>
      </c>
      <c r="CD42" s="180">
        <v>99.67</v>
      </c>
      <c r="CE42" s="180"/>
      <c r="CF42" s="180"/>
      <c r="CG42" s="180"/>
      <c r="CH42" s="180"/>
      <c r="CI42" s="180"/>
      <c r="CJ42" s="180"/>
      <c r="CK42" s="180"/>
      <c r="CL42" s="180"/>
      <c r="CM42" s="180"/>
      <c r="CN42" s="180"/>
      <c r="CO42" s="180"/>
      <c r="CP42" s="180"/>
      <c r="CQ42" s="180"/>
      <c r="CR42" s="180"/>
      <c r="CS42" s="180"/>
      <c r="CT42" s="180"/>
      <c r="CU42" s="180"/>
    </row>
    <row r="43" spans="1:99" x14ac:dyDescent="0.3">
      <c r="A43">
        <v>103</v>
      </c>
      <c r="B43" t="s">
        <v>256</v>
      </c>
      <c r="E43">
        <v>100</v>
      </c>
      <c r="F43">
        <v>100</v>
      </c>
      <c r="G43">
        <v>100</v>
      </c>
      <c r="H43">
        <v>100</v>
      </c>
      <c r="I43">
        <v>100</v>
      </c>
      <c r="J43">
        <v>100</v>
      </c>
      <c r="K43">
        <v>98.79</v>
      </c>
      <c r="L43">
        <v>100</v>
      </c>
      <c r="M43">
        <v>100</v>
      </c>
      <c r="N43">
        <v>100</v>
      </c>
      <c r="O43">
        <v>99.75</v>
      </c>
      <c r="P43">
        <v>100</v>
      </c>
      <c r="Q43">
        <v>100</v>
      </c>
      <c r="R43">
        <v>100</v>
      </c>
      <c r="S43">
        <v>100</v>
      </c>
      <c r="T43">
        <v>100</v>
      </c>
      <c r="U43">
        <v>100</v>
      </c>
      <c r="V43">
        <v>100</v>
      </c>
      <c r="W43">
        <v>100</v>
      </c>
      <c r="X43">
        <v>100</v>
      </c>
      <c r="Y43">
        <v>100</v>
      </c>
      <c r="Z43">
        <v>100</v>
      </c>
      <c r="AA43">
        <v>0</v>
      </c>
      <c r="AB43">
        <v>99.09</v>
      </c>
      <c r="AC43">
        <v>100</v>
      </c>
      <c r="AD43">
        <v>100</v>
      </c>
      <c r="AF43">
        <v>98.17</v>
      </c>
      <c r="AG43">
        <v>100</v>
      </c>
      <c r="AH43">
        <v>100</v>
      </c>
      <c r="AI43">
        <v>99.47</v>
      </c>
      <c r="AJ43">
        <v>100</v>
      </c>
      <c r="AK43">
        <v>100</v>
      </c>
      <c r="AL43">
        <v>100</v>
      </c>
      <c r="AM43">
        <v>90.29</v>
      </c>
      <c r="AN43">
        <v>98.72</v>
      </c>
      <c r="AO43">
        <v>0</v>
      </c>
      <c r="AP43">
        <v>100</v>
      </c>
      <c r="AQ43">
        <v>100</v>
      </c>
      <c r="AR43">
        <v>100</v>
      </c>
      <c r="AS43">
        <v>100</v>
      </c>
      <c r="AT43">
        <v>100</v>
      </c>
      <c r="AU43">
        <v>99.63</v>
      </c>
      <c r="AV43">
        <v>100</v>
      </c>
      <c r="AW43">
        <v>100</v>
      </c>
      <c r="AX43">
        <v>100</v>
      </c>
      <c r="AY43">
        <v>0</v>
      </c>
      <c r="BA43">
        <v>100</v>
      </c>
      <c r="BB43">
        <v>100</v>
      </c>
      <c r="BC43">
        <v>100</v>
      </c>
      <c r="BD43">
        <v>98.32</v>
      </c>
      <c r="BE43">
        <v>100</v>
      </c>
      <c r="BF43">
        <v>100</v>
      </c>
      <c r="BG43">
        <v>100</v>
      </c>
      <c r="BH43">
        <v>100</v>
      </c>
      <c r="BI43">
        <v>100</v>
      </c>
      <c r="BJ43">
        <v>100</v>
      </c>
      <c r="BK43">
        <v>0</v>
      </c>
      <c r="BL43">
        <v>100</v>
      </c>
      <c r="BM43">
        <v>99.28</v>
      </c>
      <c r="BN43">
        <v>100</v>
      </c>
      <c r="BO43">
        <v>100</v>
      </c>
      <c r="BP43">
        <v>99.69</v>
      </c>
      <c r="BQ43">
        <v>100</v>
      </c>
      <c r="BR43">
        <v>100</v>
      </c>
      <c r="BS43" s="180">
        <v>100</v>
      </c>
      <c r="BT43" s="180">
        <v>100</v>
      </c>
      <c r="BU43" s="180">
        <v>100</v>
      </c>
      <c r="BV43" s="180">
        <v>100</v>
      </c>
      <c r="BW43" s="180">
        <v>100</v>
      </c>
      <c r="BX43" s="180">
        <v>100</v>
      </c>
      <c r="BY43" s="180">
        <v>99.3</v>
      </c>
      <c r="BZ43" s="180">
        <v>97.94</v>
      </c>
      <c r="CA43" s="180">
        <v>100</v>
      </c>
      <c r="CB43" s="180">
        <v>100</v>
      </c>
      <c r="CC43" s="180">
        <v>89.39</v>
      </c>
      <c r="CD43" s="180">
        <v>100</v>
      </c>
      <c r="CE43" s="180"/>
      <c r="CF43" s="180"/>
      <c r="CG43" s="180"/>
      <c r="CH43" s="180"/>
      <c r="CI43" s="180"/>
      <c r="CJ43" s="180"/>
      <c r="CK43" s="180"/>
      <c r="CL43" s="180"/>
      <c r="CM43" s="180"/>
      <c r="CN43" s="180"/>
      <c r="CO43" s="180"/>
      <c r="CP43" s="180"/>
      <c r="CQ43" s="180"/>
      <c r="CR43" s="180"/>
      <c r="CS43" s="180"/>
      <c r="CT43" s="180"/>
      <c r="CU43" s="180"/>
    </row>
    <row r="44" spans="1:99" x14ac:dyDescent="0.3">
      <c r="A44">
        <v>171</v>
      </c>
      <c r="B44" t="s">
        <v>208</v>
      </c>
      <c r="E44">
        <v>27976</v>
      </c>
      <c r="F44">
        <v>58720</v>
      </c>
      <c r="G44">
        <v>0</v>
      </c>
      <c r="H44">
        <v>1134</v>
      </c>
      <c r="I44">
        <v>0</v>
      </c>
      <c r="J44">
        <v>0</v>
      </c>
      <c r="K44">
        <v>0</v>
      </c>
      <c r="L44">
        <v>550534</v>
      </c>
      <c r="M44">
        <v>15125191</v>
      </c>
      <c r="N44">
        <v>0</v>
      </c>
      <c r="O44">
        <v>847399</v>
      </c>
      <c r="P44">
        <v>0</v>
      </c>
      <c r="Q44">
        <v>288632</v>
      </c>
      <c r="R44">
        <v>0</v>
      </c>
      <c r="S44">
        <v>14778</v>
      </c>
      <c r="T44">
        <v>77490</v>
      </c>
      <c r="U44">
        <v>0</v>
      </c>
      <c r="V44">
        <v>227961</v>
      </c>
      <c r="W44">
        <v>425101</v>
      </c>
      <c r="X44">
        <v>65289</v>
      </c>
      <c r="Y44">
        <v>0</v>
      </c>
      <c r="Z44">
        <v>4044010</v>
      </c>
      <c r="AA44">
        <v>0</v>
      </c>
      <c r="AB44">
        <v>11888</v>
      </c>
      <c r="AC44">
        <v>5245044</v>
      </c>
      <c r="AD44">
        <v>48400</v>
      </c>
      <c r="AF44">
        <v>5618632</v>
      </c>
      <c r="AG44">
        <v>0</v>
      </c>
      <c r="AH44">
        <v>0</v>
      </c>
      <c r="AI44">
        <v>435061</v>
      </c>
      <c r="AJ44">
        <v>0</v>
      </c>
      <c r="AK44">
        <v>0</v>
      </c>
      <c r="AL44">
        <v>4859516</v>
      </c>
      <c r="AM44">
        <v>0</v>
      </c>
      <c r="AN44">
        <v>0</v>
      </c>
      <c r="AO44">
        <v>0</v>
      </c>
      <c r="AP44">
        <v>15651</v>
      </c>
      <c r="AQ44">
        <v>109967</v>
      </c>
      <c r="AR44">
        <v>0</v>
      </c>
      <c r="AS44">
        <v>73318</v>
      </c>
      <c r="AT44">
        <v>12195</v>
      </c>
      <c r="AU44">
        <v>39127105</v>
      </c>
      <c r="AV44">
        <v>6285268</v>
      </c>
      <c r="AW44">
        <v>156132</v>
      </c>
      <c r="AX44">
        <v>4376</v>
      </c>
      <c r="AY44">
        <v>0</v>
      </c>
      <c r="BA44">
        <v>0</v>
      </c>
      <c r="BB44">
        <v>0</v>
      </c>
      <c r="BC44">
        <v>0</v>
      </c>
      <c r="BD44">
        <v>2567</v>
      </c>
      <c r="BE44">
        <v>0</v>
      </c>
      <c r="BF44">
        <v>1794439</v>
      </c>
      <c r="BG44">
        <v>0</v>
      </c>
      <c r="BH44">
        <v>359180</v>
      </c>
      <c r="BI44">
        <v>116862</v>
      </c>
      <c r="BJ44">
        <v>6105</v>
      </c>
      <c r="BK44">
        <v>0</v>
      </c>
      <c r="BL44">
        <v>803581</v>
      </c>
      <c r="BM44">
        <v>2615111</v>
      </c>
      <c r="BN44">
        <v>78573</v>
      </c>
      <c r="BO44">
        <v>5581375</v>
      </c>
      <c r="BP44">
        <v>16011900</v>
      </c>
      <c r="BQ44">
        <v>3242</v>
      </c>
      <c r="BR44">
        <v>1149635</v>
      </c>
      <c r="BS44" s="180">
        <v>0</v>
      </c>
      <c r="BT44" s="180">
        <v>676228</v>
      </c>
      <c r="BU44" s="180">
        <v>5322</v>
      </c>
      <c r="BV44" s="180">
        <v>0</v>
      </c>
      <c r="BW44" s="180">
        <v>30116288</v>
      </c>
      <c r="BX44" s="180">
        <v>0</v>
      </c>
      <c r="BY44" s="180">
        <v>7292735</v>
      </c>
      <c r="BZ44" s="180">
        <v>0</v>
      </c>
      <c r="CA44" s="180">
        <v>1446058</v>
      </c>
      <c r="CB44" s="180">
        <v>15204</v>
      </c>
      <c r="CC44" s="180">
        <v>123841</v>
      </c>
      <c r="CD44" s="180">
        <v>5157521</v>
      </c>
      <c r="CE44" s="180"/>
      <c r="CF44" s="180"/>
      <c r="CG44" s="180"/>
      <c r="CH44" s="180"/>
      <c r="CI44" s="180"/>
      <c r="CJ44" s="180"/>
      <c r="CK44" s="180"/>
      <c r="CL44" s="180"/>
      <c r="CM44" s="180"/>
      <c r="CN44" s="180"/>
      <c r="CO44" s="180"/>
      <c r="CP44" s="180"/>
      <c r="CQ44" s="180"/>
      <c r="CR44" s="180"/>
      <c r="CS44" s="180"/>
      <c r="CT44" s="180"/>
      <c r="CU44" s="180"/>
    </row>
    <row r="45" spans="1:99" x14ac:dyDescent="0.3">
      <c r="A45">
        <v>191</v>
      </c>
      <c r="B45" t="s">
        <v>224</v>
      </c>
      <c r="E45">
        <v>318064</v>
      </c>
      <c r="F45">
        <v>0</v>
      </c>
      <c r="G45">
        <v>0</v>
      </c>
      <c r="H45">
        <v>0</v>
      </c>
      <c r="I45">
        <v>0</v>
      </c>
      <c r="J45">
        <v>0</v>
      </c>
      <c r="K45">
        <v>0</v>
      </c>
      <c r="L45">
        <v>0</v>
      </c>
      <c r="M45">
        <v>0</v>
      </c>
      <c r="N45">
        <v>0</v>
      </c>
      <c r="O45">
        <v>0</v>
      </c>
      <c r="P45">
        <v>0</v>
      </c>
      <c r="Q45">
        <v>0</v>
      </c>
      <c r="R45">
        <v>0</v>
      </c>
      <c r="S45">
        <v>458854</v>
      </c>
      <c r="T45">
        <v>0</v>
      </c>
      <c r="U45">
        <v>0</v>
      </c>
      <c r="V45">
        <v>0</v>
      </c>
      <c r="W45">
        <v>0</v>
      </c>
      <c r="X45">
        <v>0</v>
      </c>
      <c r="Y45">
        <v>65250</v>
      </c>
      <c r="Z45">
        <v>8426776</v>
      </c>
      <c r="AA45">
        <v>0</v>
      </c>
      <c r="AB45">
        <v>0</v>
      </c>
      <c r="AC45">
        <v>0</v>
      </c>
      <c r="AD45">
        <v>0</v>
      </c>
      <c r="AF45">
        <v>5531769</v>
      </c>
      <c r="AG45">
        <v>0</v>
      </c>
      <c r="AH45">
        <v>0</v>
      </c>
      <c r="AI45">
        <v>0</v>
      </c>
      <c r="AJ45">
        <v>0</v>
      </c>
      <c r="AK45">
        <v>0</v>
      </c>
      <c r="AL45">
        <v>428036</v>
      </c>
      <c r="AM45">
        <v>0</v>
      </c>
      <c r="AN45">
        <v>9838011</v>
      </c>
      <c r="AO45">
        <v>0</v>
      </c>
      <c r="AP45">
        <v>0</v>
      </c>
      <c r="AQ45">
        <v>0</v>
      </c>
      <c r="AR45">
        <v>0</v>
      </c>
      <c r="AS45">
        <v>0</v>
      </c>
      <c r="AT45">
        <v>0</v>
      </c>
      <c r="AU45">
        <v>403757</v>
      </c>
      <c r="AV45">
        <v>6082005</v>
      </c>
      <c r="AW45">
        <v>870828</v>
      </c>
      <c r="AX45">
        <v>0</v>
      </c>
      <c r="AY45">
        <v>0</v>
      </c>
      <c r="BA45">
        <v>0</v>
      </c>
      <c r="BB45">
        <v>206400</v>
      </c>
      <c r="BC45">
        <v>0</v>
      </c>
      <c r="BD45">
        <v>0</v>
      </c>
      <c r="BE45">
        <v>0</v>
      </c>
      <c r="BF45">
        <v>0</v>
      </c>
      <c r="BG45">
        <v>0</v>
      </c>
      <c r="BH45">
        <v>0</v>
      </c>
      <c r="BI45">
        <v>0</v>
      </c>
      <c r="BJ45">
        <v>0</v>
      </c>
      <c r="BK45">
        <v>0</v>
      </c>
      <c r="BL45">
        <v>0</v>
      </c>
      <c r="BM45">
        <v>5525336</v>
      </c>
      <c r="BN45">
        <v>0</v>
      </c>
      <c r="BO45">
        <v>271632</v>
      </c>
      <c r="BP45">
        <v>639792</v>
      </c>
      <c r="BQ45">
        <v>1439893</v>
      </c>
      <c r="BR45">
        <v>0</v>
      </c>
      <c r="BS45" s="180">
        <v>0</v>
      </c>
      <c r="BT45" s="180">
        <v>127467</v>
      </c>
      <c r="BU45" s="180">
        <v>57628</v>
      </c>
      <c r="BV45" s="180">
        <v>18881</v>
      </c>
      <c r="BW45" s="180">
        <v>0</v>
      </c>
      <c r="BX45" s="180">
        <v>0</v>
      </c>
      <c r="BY45" s="180">
        <v>3386848</v>
      </c>
      <c r="BZ45" s="180">
        <v>1298300</v>
      </c>
      <c r="CA45" s="180">
        <v>0</v>
      </c>
      <c r="CB45" s="180">
        <v>0</v>
      </c>
      <c r="CC45" s="180">
        <v>0</v>
      </c>
      <c r="CD45" s="180">
        <v>0</v>
      </c>
      <c r="CE45" s="180"/>
      <c r="CF45" s="180"/>
      <c r="CG45" s="180"/>
      <c r="CH45" s="180"/>
      <c r="CI45" s="180"/>
      <c r="CJ45" s="180"/>
      <c r="CK45" s="180"/>
      <c r="CL45" s="180"/>
      <c r="CM45" s="180"/>
      <c r="CN45" s="180"/>
      <c r="CO45" s="180"/>
      <c r="CP45" s="180"/>
      <c r="CQ45" s="180"/>
      <c r="CR45" s="180"/>
      <c r="CS45" s="180"/>
      <c r="CT45" s="180"/>
      <c r="CU45" s="180"/>
    </row>
    <row r="46" spans="1:99" x14ac:dyDescent="0.3">
      <c r="A46">
        <v>192</v>
      </c>
      <c r="B46" s="551" t="s">
        <v>235</v>
      </c>
      <c r="E46">
        <v>0</v>
      </c>
      <c r="F46">
        <v>0</v>
      </c>
      <c r="G46">
        <v>0</v>
      </c>
      <c r="H46">
        <v>0</v>
      </c>
      <c r="I46">
        <v>0</v>
      </c>
      <c r="J46">
        <v>0</v>
      </c>
      <c r="K46">
        <v>0</v>
      </c>
      <c r="L46">
        <v>0</v>
      </c>
      <c r="M46" s="551">
        <v>0</v>
      </c>
      <c r="N46">
        <v>0</v>
      </c>
      <c r="O46">
        <v>0</v>
      </c>
      <c r="P46">
        <v>0</v>
      </c>
      <c r="Q46">
        <v>0</v>
      </c>
      <c r="R46">
        <v>0</v>
      </c>
      <c r="S46">
        <v>0</v>
      </c>
      <c r="T46">
        <v>0</v>
      </c>
      <c r="U46">
        <v>0</v>
      </c>
      <c r="V46">
        <v>0</v>
      </c>
      <c r="W46">
        <v>0</v>
      </c>
      <c r="X46">
        <v>0</v>
      </c>
      <c r="Y46">
        <v>0</v>
      </c>
      <c r="Z46">
        <v>0</v>
      </c>
      <c r="AA46">
        <v>0</v>
      </c>
      <c r="AB46">
        <v>0</v>
      </c>
      <c r="AC46">
        <v>0</v>
      </c>
      <c r="AD46">
        <v>0</v>
      </c>
      <c r="AF46">
        <v>5000</v>
      </c>
      <c r="AG46">
        <v>0</v>
      </c>
      <c r="AH46">
        <v>0</v>
      </c>
      <c r="AI46">
        <v>0</v>
      </c>
      <c r="AJ46">
        <v>0</v>
      </c>
      <c r="AK46">
        <v>0</v>
      </c>
      <c r="AL46">
        <v>0</v>
      </c>
      <c r="AM46">
        <v>0</v>
      </c>
      <c r="AN46">
        <v>0</v>
      </c>
      <c r="AO46">
        <v>0</v>
      </c>
      <c r="AP46">
        <v>0</v>
      </c>
      <c r="AQ46">
        <v>0</v>
      </c>
      <c r="AR46">
        <v>0</v>
      </c>
      <c r="AS46">
        <v>0</v>
      </c>
      <c r="AT46">
        <v>0</v>
      </c>
      <c r="AU46">
        <v>0</v>
      </c>
      <c r="AV46">
        <v>0</v>
      </c>
      <c r="AW46">
        <v>0</v>
      </c>
      <c r="AX46">
        <v>0</v>
      </c>
      <c r="AY46">
        <v>0</v>
      </c>
      <c r="BA46">
        <v>0</v>
      </c>
      <c r="BB46">
        <v>0</v>
      </c>
      <c r="BC46">
        <v>0</v>
      </c>
      <c r="BD46">
        <v>0</v>
      </c>
      <c r="BE46">
        <v>0</v>
      </c>
      <c r="BF46">
        <v>0</v>
      </c>
      <c r="BG46">
        <v>0</v>
      </c>
      <c r="BH46">
        <v>0</v>
      </c>
      <c r="BI46">
        <v>0</v>
      </c>
      <c r="BJ46">
        <v>0</v>
      </c>
      <c r="BK46">
        <v>0</v>
      </c>
      <c r="BL46">
        <v>0</v>
      </c>
      <c r="BM46">
        <v>0</v>
      </c>
      <c r="BN46">
        <v>0</v>
      </c>
      <c r="BO46">
        <v>0</v>
      </c>
      <c r="BP46">
        <v>0</v>
      </c>
      <c r="BQ46">
        <v>0</v>
      </c>
      <c r="BR46">
        <v>0</v>
      </c>
      <c r="BS46" s="180">
        <v>0</v>
      </c>
      <c r="BT46" s="180">
        <v>0</v>
      </c>
      <c r="BU46" s="180">
        <v>0</v>
      </c>
      <c r="BV46" s="180">
        <v>0</v>
      </c>
      <c r="BW46" s="180">
        <v>0</v>
      </c>
      <c r="BX46" s="180">
        <v>0</v>
      </c>
      <c r="BY46" s="180">
        <v>0</v>
      </c>
      <c r="BZ46" s="180">
        <v>0</v>
      </c>
      <c r="CA46" s="180">
        <v>0</v>
      </c>
      <c r="CB46" s="180">
        <v>0</v>
      </c>
      <c r="CC46" s="180">
        <v>0</v>
      </c>
      <c r="CD46" s="180">
        <v>0</v>
      </c>
      <c r="CE46" s="180"/>
      <c r="CF46" s="180"/>
      <c r="CG46" s="180"/>
      <c r="CH46" s="180"/>
      <c r="CI46" s="180"/>
      <c r="CJ46" s="180"/>
      <c r="CK46" s="180"/>
      <c r="CL46" s="180"/>
      <c r="CM46" s="180"/>
      <c r="CN46" s="180"/>
      <c r="CO46" s="180"/>
      <c r="CP46" s="180"/>
      <c r="CQ46" s="180"/>
      <c r="CR46" s="180"/>
      <c r="CS46" s="180"/>
      <c r="CT46" s="180"/>
      <c r="CU46" s="180"/>
    </row>
    <row r="47" spans="1:99" x14ac:dyDescent="0.3">
      <c r="A47">
        <v>252</v>
      </c>
      <c r="B47" t="s">
        <v>95</v>
      </c>
      <c r="E47">
        <v>1746604</v>
      </c>
      <c r="F47">
        <v>1462251</v>
      </c>
      <c r="G47">
        <v>812347</v>
      </c>
      <c r="H47">
        <v>387751</v>
      </c>
      <c r="I47">
        <v>502031</v>
      </c>
      <c r="J47">
        <v>66855</v>
      </c>
      <c r="K47">
        <v>142073</v>
      </c>
      <c r="L47">
        <v>8404577</v>
      </c>
      <c r="M47">
        <v>363802556</v>
      </c>
      <c r="N47">
        <v>3559647</v>
      </c>
      <c r="O47">
        <v>13067871</v>
      </c>
      <c r="P47">
        <v>765691</v>
      </c>
      <c r="Q47">
        <v>20893404</v>
      </c>
      <c r="R47">
        <v>155066</v>
      </c>
      <c r="S47">
        <v>205286</v>
      </c>
      <c r="T47">
        <v>902717</v>
      </c>
      <c r="U47">
        <v>1484356</v>
      </c>
      <c r="V47">
        <v>6494138</v>
      </c>
      <c r="W47">
        <v>1994443</v>
      </c>
      <c r="X47">
        <v>591833</v>
      </c>
      <c r="Y47">
        <v>791675</v>
      </c>
      <c r="Z47">
        <v>169491835</v>
      </c>
      <c r="AA47">
        <v>1817275</v>
      </c>
      <c r="AB47">
        <v>82619</v>
      </c>
      <c r="AC47">
        <v>63400753</v>
      </c>
      <c r="AD47">
        <v>0</v>
      </c>
      <c r="AF47">
        <v>118025799</v>
      </c>
      <c r="AG47">
        <v>194387</v>
      </c>
      <c r="AH47">
        <v>213451</v>
      </c>
      <c r="AI47">
        <v>6504857</v>
      </c>
      <c r="AJ47">
        <v>1058705</v>
      </c>
      <c r="AK47">
        <v>661300</v>
      </c>
      <c r="AL47">
        <v>50129419</v>
      </c>
      <c r="AM47">
        <v>765830</v>
      </c>
      <c r="AN47">
        <v>19491654</v>
      </c>
      <c r="AO47">
        <v>0</v>
      </c>
      <c r="AP47">
        <v>6695005</v>
      </c>
      <c r="AQ47">
        <v>3791305</v>
      </c>
      <c r="AR47">
        <v>270358</v>
      </c>
      <c r="AS47">
        <v>1953412</v>
      </c>
      <c r="AT47">
        <v>-35943</v>
      </c>
      <c r="AU47">
        <v>300427623</v>
      </c>
      <c r="AV47">
        <v>205856663</v>
      </c>
      <c r="AW47">
        <v>691716</v>
      </c>
      <c r="AX47">
        <v>477810</v>
      </c>
      <c r="AY47">
        <v>167910</v>
      </c>
      <c r="BA47">
        <v>376731</v>
      </c>
      <c r="BB47">
        <v>6696084</v>
      </c>
      <c r="BC47">
        <v>629979</v>
      </c>
      <c r="BD47">
        <v>176768</v>
      </c>
      <c r="BE47">
        <v>22507</v>
      </c>
      <c r="BF47">
        <v>38417171</v>
      </c>
      <c r="BG47">
        <v>30262</v>
      </c>
      <c r="BH47">
        <v>10268473</v>
      </c>
      <c r="BI47">
        <v>1444776</v>
      </c>
      <c r="BJ47">
        <v>577670</v>
      </c>
      <c r="BK47">
        <v>180077</v>
      </c>
      <c r="BL47">
        <v>16229581</v>
      </c>
      <c r="BM47">
        <v>24328314</v>
      </c>
      <c r="BN47">
        <v>1113616</v>
      </c>
      <c r="BO47">
        <v>126850916</v>
      </c>
      <c r="BP47">
        <v>183284503</v>
      </c>
      <c r="BQ47">
        <v>960777</v>
      </c>
      <c r="BR47">
        <v>16680346</v>
      </c>
      <c r="BS47" s="180">
        <v>2718094</v>
      </c>
      <c r="BT47" s="180">
        <v>22145270</v>
      </c>
      <c r="BU47" s="180">
        <v>1087163</v>
      </c>
      <c r="BV47" s="180">
        <v>747399</v>
      </c>
      <c r="BW47" s="180">
        <v>7152270</v>
      </c>
      <c r="BX47" s="180">
        <v>3642207</v>
      </c>
      <c r="BY47" s="180">
        <v>108573159</v>
      </c>
      <c r="BZ47" s="180">
        <v>1074601</v>
      </c>
      <c r="CA47" s="180">
        <v>21147297</v>
      </c>
      <c r="CB47" s="180">
        <v>479468</v>
      </c>
      <c r="CC47" s="180">
        <v>4021832</v>
      </c>
      <c r="CD47" s="180">
        <v>106669945</v>
      </c>
      <c r="CE47" s="180"/>
      <c r="CF47" s="180"/>
      <c r="CG47" s="180"/>
      <c r="CH47" s="180"/>
      <c r="CI47" s="180"/>
      <c r="CJ47" s="180"/>
      <c r="CK47" s="180"/>
      <c r="CL47" s="180"/>
      <c r="CM47" s="180"/>
      <c r="CN47" s="180"/>
      <c r="CO47" s="180"/>
      <c r="CP47" s="180"/>
      <c r="CQ47" s="180"/>
      <c r="CR47" s="180"/>
      <c r="CS47" s="180"/>
      <c r="CT47" s="180"/>
      <c r="CU47" s="180"/>
    </row>
    <row r="48" spans="1:99" x14ac:dyDescent="0.3">
      <c r="A48">
        <v>253</v>
      </c>
      <c r="B48" t="s">
        <v>96</v>
      </c>
      <c r="E48">
        <v>571543</v>
      </c>
      <c r="F48">
        <v>242344</v>
      </c>
      <c r="G48">
        <v>90808</v>
      </c>
      <c r="H48">
        <v>244589</v>
      </c>
      <c r="I48">
        <v>48000</v>
      </c>
      <c r="J48">
        <v>20552</v>
      </c>
      <c r="K48">
        <v>109399</v>
      </c>
      <c r="L48">
        <v>1331940</v>
      </c>
      <c r="M48">
        <v>66786121</v>
      </c>
      <c r="N48">
        <v>214958</v>
      </c>
      <c r="O48">
        <v>1805623</v>
      </c>
      <c r="P48">
        <v>56962</v>
      </c>
      <c r="Q48">
        <v>2304656</v>
      </c>
      <c r="R48">
        <v>25332</v>
      </c>
      <c r="S48">
        <v>70888</v>
      </c>
      <c r="T48">
        <v>490112</v>
      </c>
      <c r="U48">
        <v>105367</v>
      </c>
      <c r="V48">
        <v>1356409</v>
      </c>
      <c r="W48">
        <v>417505</v>
      </c>
      <c r="X48">
        <v>423881</v>
      </c>
      <c r="Y48">
        <v>207992</v>
      </c>
      <c r="Z48">
        <v>49642033</v>
      </c>
      <c r="AA48">
        <v>3606719</v>
      </c>
      <c r="AB48">
        <v>356313</v>
      </c>
      <c r="AC48">
        <v>6949593</v>
      </c>
      <c r="AD48">
        <v>0</v>
      </c>
      <c r="AF48">
        <v>38347227</v>
      </c>
      <c r="AG48">
        <v>167077</v>
      </c>
      <c r="AH48">
        <v>43207</v>
      </c>
      <c r="AI48">
        <v>1252751</v>
      </c>
      <c r="AJ48">
        <v>165203</v>
      </c>
      <c r="AK48">
        <v>58411</v>
      </c>
      <c r="AL48">
        <v>11498495</v>
      </c>
      <c r="AM48">
        <v>59820</v>
      </c>
      <c r="AN48">
        <v>5361054</v>
      </c>
      <c r="AO48">
        <v>9117</v>
      </c>
      <c r="AP48">
        <v>545247</v>
      </c>
      <c r="AQ48">
        <v>435108</v>
      </c>
      <c r="AR48">
        <v>7506</v>
      </c>
      <c r="AS48">
        <v>745631</v>
      </c>
      <c r="AT48">
        <v>79680</v>
      </c>
      <c r="AU48">
        <v>146401164</v>
      </c>
      <c r="AV48">
        <v>30173793</v>
      </c>
      <c r="AW48">
        <v>302000</v>
      </c>
      <c r="AX48">
        <v>115133</v>
      </c>
      <c r="AY48">
        <v>164966</v>
      </c>
      <c r="BA48">
        <v>279505</v>
      </c>
      <c r="BB48">
        <v>697729</v>
      </c>
      <c r="BC48">
        <v>52845</v>
      </c>
      <c r="BD48">
        <v>20372</v>
      </c>
      <c r="BE48">
        <v>24867</v>
      </c>
      <c r="BF48">
        <v>2506749</v>
      </c>
      <c r="BG48">
        <v>27866</v>
      </c>
      <c r="BH48">
        <v>3954702</v>
      </c>
      <c r="BI48">
        <v>784566</v>
      </c>
      <c r="BJ48">
        <v>96472</v>
      </c>
      <c r="BK48">
        <v>14083</v>
      </c>
      <c r="BL48">
        <v>3634941</v>
      </c>
      <c r="BM48">
        <v>7783564</v>
      </c>
      <c r="BN48">
        <v>780169</v>
      </c>
      <c r="BO48">
        <v>16018271</v>
      </c>
      <c r="BP48">
        <v>59486056</v>
      </c>
      <c r="BQ48">
        <v>59688</v>
      </c>
      <c r="BR48">
        <v>783992</v>
      </c>
      <c r="BS48" s="180">
        <v>234635</v>
      </c>
      <c r="BT48" s="180">
        <v>3051231</v>
      </c>
      <c r="BU48" s="180">
        <v>91060</v>
      </c>
      <c r="BV48" s="180">
        <v>116468</v>
      </c>
      <c r="BW48" s="180">
        <v>8609662</v>
      </c>
      <c r="BX48" s="180">
        <v>1885124</v>
      </c>
      <c r="BY48" s="180">
        <v>58774616</v>
      </c>
      <c r="BZ48" s="180">
        <v>101305</v>
      </c>
      <c r="CA48" s="180">
        <v>2996185</v>
      </c>
      <c r="CB48" s="180">
        <v>171934</v>
      </c>
      <c r="CC48" s="180">
        <v>580743</v>
      </c>
      <c r="CD48" s="180">
        <v>30642633</v>
      </c>
      <c r="CE48" s="180"/>
      <c r="CF48" s="180"/>
      <c r="CG48" s="180"/>
      <c r="CH48" s="180"/>
      <c r="CI48" s="180"/>
      <c r="CJ48" s="180"/>
      <c r="CK48" s="180"/>
      <c r="CL48" s="180"/>
      <c r="CM48" s="180"/>
      <c r="CN48" s="180"/>
      <c r="CO48" s="180"/>
      <c r="CP48" s="180"/>
      <c r="CQ48" s="180"/>
      <c r="CR48" s="180"/>
      <c r="CS48" s="180"/>
      <c r="CT48" s="180"/>
      <c r="CU48" s="180"/>
    </row>
    <row r="49" spans="1:99" x14ac:dyDescent="0.3">
      <c r="A49">
        <v>254</v>
      </c>
      <c r="B49" t="s">
        <v>97</v>
      </c>
      <c r="E49">
        <v>-909322</v>
      </c>
      <c r="F49">
        <v>605186</v>
      </c>
      <c r="G49">
        <v>876706</v>
      </c>
      <c r="H49">
        <v>1191470</v>
      </c>
      <c r="I49">
        <v>325940</v>
      </c>
      <c r="J49">
        <v>105695</v>
      </c>
      <c r="K49">
        <v>419183</v>
      </c>
      <c r="L49">
        <v>-681757</v>
      </c>
      <c r="M49">
        <v>1057503</v>
      </c>
      <c r="N49">
        <v>4039655</v>
      </c>
      <c r="O49">
        <v>7999293</v>
      </c>
      <c r="P49">
        <v>143000</v>
      </c>
      <c r="Q49">
        <v>-4112703</v>
      </c>
      <c r="R49">
        <v>191383</v>
      </c>
      <c r="S49">
        <v>674971</v>
      </c>
      <c r="T49">
        <v>1315529</v>
      </c>
      <c r="U49">
        <v>2426884</v>
      </c>
      <c r="V49">
        <v>4068450</v>
      </c>
      <c r="W49">
        <v>671165</v>
      </c>
      <c r="X49">
        <v>735842</v>
      </c>
      <c r="Y49">
        <v>-498939</v>
      </c>
      <c r="Z49">
        <v>12341384</v>
      </c>
      <c r="AA49">
        <v>4818379</v>
      </c>
      <c r="AB49">
        <v>1399704</v>
      </c>
      <c r="AC49">
        <v>12626054</v>
      </c>
      <c r="AD49">
        <v>0</v>
      </c>
      <c r="AF49">
        <v>-47895229</v>
      </c>
      <c r="AG49">
        <v>1113758</v>
      </c>
      <c r="AH49">
        <v>339649</v>
      </c>
      <c r="AI49">
        <v>961052</v>
      </c>
      <c r="AJ49">
        <v>1127122</v>
      </c>
      <c r="AK49">
        <v>92659</v>
      </c>
      <c r="AL49">
        <v>7314033</v>
      </c>
      <c r="AM49">
        <v>702164</v>
      </c>
      <c r="AN49">
        <v>-1532897</v>
      </c>
      <c r="AO49">
        <v>162585</v>
      </c>
      <c r="AP49">
        <v>4851821</v>
      </c>
      <c r="AQ49">
        <v>2682493</v>
      </c>
      <c r="AR49">
        <v>279090</v>
      </c>
      <c r="AS49">
        <v>2223418</v>
      </c>
      <c r="AT49">
        <v>1034301</v>
      </c>
      <c r="AU49">
        <v>-57397008</v>
      </c>
      <c r="AV49">
        <v>-4151040</v>
      </c>
      <c r="AW49">
        <v>1349685</v>
      </c>
      <c r="AX49">
        <v>206550</v>
      </c>
      <c r="AY49">
        <v>465752</v>
      </c>
      <c r="BA49">
        <v>793728</v>
      </c>
      <c r="BB49">
        <v>-3721933</v>
      </c>
      <c r="BC49">
        <v>1402665</v>
      </c>
      <c r="BD49">
        <v>266949</v>
      </c>
      <c r="BE49">
        <v>162704</v>
      </c>
      <c r="BF49">
        <v>20230090</v>
      </c>
      <c r="BG49">
        <v>77328</v>
      </c>
      <c r="BH49">
        <v>7946912</v>
      </c>
      <c r="BI49">
        <v>-647629</v>
      </c>
      <c r="BJ49">
        <v>584824</v>
      </c>
      <c r="BK49">
        <v>527380</v>
      </c>
      <c r="BL49">
        <v>-1302850</v>
      </c>
      <c r="BM49">
        <v>388280</v>
      </c>
      <c r="BN49">
        <v>1238569</v>
      </c>
      <c r="BO49">
        <v>17274696</v>
      </c>
      <c r="BP49">
        <v>-31590973</v>
      </c>
      <c r="BQ49">
        <v>352380</v>
      </c>
      <c r="BR49">
        <v>4732834</v>
      </c>
      <c r="BS49" s="180">
        <v>3624142</v>
      </c>
      <c r="BT49" s="180">
        <v>9679583</v>
      </c>
      <c r="BU49" s="180">
        <v>291477</v>
      </c>
      <c r="BV49" s="180">
        <v>619088</v>
      </c>
      <c r="BW49" s="180">
        <v>865202</v>
      </c>
      <c r="BX49" s="180">
        <v>1124806</v>
      </c>
      <c r="BY49" s="180">
        <v>13333205</v>
      </c>
      <c r="BZ49" s="180">
        <v>244804</v>
      </c>
      <c r="CA49" s="180">
        <v>-8899260</v>
      </c>
      <c r="CB49" s="180">
        <v>1011848</v>
      </c>
      <c r="CC49" s="180">
        <v>2606089</v>
      </c>
      <c r="CD49" s="180">
        <v>26628692</v>
      </c>
      <c r="CE49" s="180"/>
      <c r="CF49" s="180"/>
      <c r="CG49" s="180"/>
      <c r="CH49" s="180"/>
      <c r="CI49" s="180"/>
      <c r="CJ49" s="180"/>
      <c r="CK49" s="180"/>
      <c r="CL49" s="180"/>
      <c r="CM49" s="180"/>
      <c r="CN49" s="180"/>
      <c r="CO49" s="180"/>
      <c r="CP49" s="180"/>
      <c r="CQ49" s="180"/>
      <c r="CR49" s="180"/>
      <c r="CS49" s="180"/>
      <c r="CT49" s="180"/>
      <c r="CU49" s="180"/>
    </row>
    <row r="50" spans="1:99" x14ac:dyDescent="0.3">
      <c r="A50">
        <v>255</v>
      </c>
      <c r="B50" t="s">
        <v>188</v>
      </c>
      <c r="E50">
        <v>628406</v>
      </c>
      <c r="F50">
        <v>141920</v>
      </c>
      <c r="G50">
        <v>17901</v>
      </c>
      <c r="H50">
        <v>252817</v>
      </c>
      <c r="I50">
        <v>142033</v>
      </c>
      <c r="J50">
        <v>-6946</v>
      </c>
      <c r="K50">
        <v>6188</v>
      </c>
      <c r="L50">
        <v>-83660</v>
      </c>
      <c r="M50">
        <v>20339434</v>
      </c>
      <c r="N50">
        <v>38025</v>
      </c>
      <c r="O50">
        <v>3816041</v>
      </c>
      <c r="P50">
        <v>-3328</v>
      </c>
      <c r="Q50">
        <v>6463262</v>
      </c>
      <c r="R50">
        <v>28631</v>
      </c>
      <c r="S50">
        <v>17359</v>
      </c>
      <c r="T50">
        <v>571188</v>
      </c>
      <c r="U50">
        <v>597280</v>
      </c>
      <c r="V50">
        <v>2136349</v>
      </c>
      <c r="W50">
        <v>896818</v>
      </c>
      <c r="X50">
        <v>146018</v>
      </c>
      <c r="Y50">
        <v>-120353</v>
      </c>
      <c r="Z50">
        <v>29397213</v>
      </c>
      <c r="AA50">
        <v>1033379</v>
      </c>
      <c r="AB50">
        <v>313440</v>
      </c>
      <c r="AC50">
        <v>7638704</v>
      </c>
      <c r="AD50">
        <v>522865</v>
      </c>
      <c r="AF50">
        <v>3764984</v>
      </c>
      <c r="AG50">
        <v>99710</v>
      </c>
      <c r="AH50">
        <v>26451</v>
      </c>
      <c r="AI50">
        <v>1714958</v>
      </c>
      <c r="AJ50">
        <v>385599</v>
      </c>
      <c r="AK50">
        <v>23231</v>
      </c>
      <c r="AL50">
        <v>5419081</v>
      </c>
      <c r="AM50">
        <v>99921</v>
      </c>
      <c r="AN50">
        <v>1982318</v>
      </c>
      <c r="AO50">
        <v>56804</v>
      </c>
      <c r="AP50">
        <v>780452</v>
      </c>
      <c r="AQ50">
        <v>545894</v>
      </c>
      <c r="AR50">
        <v>-1767497</v>
      </c>
      <c r="AS50">
        <v>455428</v>
      </c>
      <c r="AT50">
        <v>177268</v>
      </c>
      <c r="AU50">
        <v>81213553</v>
      </c>
      <c r="AV50">
        <v>18743444</v>
      </c>
      <c r="AW50">
        <v>361638</v>
      </c>
      <c r="AX50">
        <v>15906</v>
      </c>
      <c r="AY50">
        <v>65280</v>
      </c>
      <c r="BA50">
        <v>15067</v>
      </c>
      <c r="BB50">
        <v>-172602</v>
      </c>
      <c r="BC50">
        <v>-121701</v>
      </c>
      <c r="BD50">
        <v>17230</v>
      </c>
      <c r="BE50">
        <v>29420</v>
      </c>
      <c r="BF50">
        <v>15176003</v>
      </c>
      <c r="BG50">
        <v>8559</v>
      </c>
      <c r="BH50">
        <v>1348416</v>
      </c>
      <c r="BI50">
        <v>170002</v>
      </c>
      <c r="BJ50">
        <v>96738</v>
      </c>
      <c r="BK50">
        <v>6263</v>
      </c>
      <c r="BL50">
        <v>2184015</v>
      </c>
      <c r="BM50">
        <v>5895772</v>
      </c>
      <c r="BN50">
        <v>243477</v>
      </c>
      <c r="BO50">
        <v>34105645</v>
      </c>
      <c r="BP50">
        <v>21639320</v>
      </c>
      <c r="BQ50">
        <v>-25387</v>
      </c>
      <c r="BR50">
        <v>1161741</v>
      </c>
      <c r="BS50" s="180">
        <v>316203</v>
      </c>
      <c r="BT50" s="180">
        <v>3365893</v>
      </c>
      <c r="BU50" s="180">
        <v>-32676</v>
      </c>
      <c r="BV50" s="180">
        <v>-24780</v>
      </c>
      <c r="BW50" s="180">
        <v>3694770</v>
      </c>
      <c r="BX50" s="180">
        <v>2543819</v>
      </c>
      <c r="BY50" s="180">
        <v>18520421</v>
      </c>
      <c r="BZ50" s="180">
        <v>-37924</v>
      </c>
      <c r="CA50" s="180">
        <v>771782</v>
      </c>
      <c r="CB50" s="180">
        <v>243647</v>
      </c>
      <c r="CC50" s="180">
        <v>847885</v>
      </c>
      <c r="CD50" s="180">
        <v>13818532</v>
      </c>
      <c r="CE50" s="180"/>
      <c r="CF50" s="180"/>
      <c r="CG50" s="180"/>
      <c r="CH50" s="180"/>
      <c r="CI50" s="180"/>
      <c r="CJ50" s="180"/>
      <c r="CK50" s="180"/>
      <c r="CL50" s="180"/>
      <c r="CM50" s="180"/>
      <c r="CN50" s="180"/>
      <c r="CO50" s="180"/>
      <c r="CP50" s="180"/>
      <c r="CQ50" s="180"/>
      <c r="CR50" s="180"/>
      <c r="CS50" s="180"/>
      <c r="CT50" s="180"/>
      <c r="CU50" s="180"/>
    </row>
    <row r="51" spans="1:99" x14ac:dyDescent="0.3">
      <c r="A51">
        <v>327</v>
      </c>
      <c r="B51" t="s">
        <v>881</v>
      </c>
      <c r="E51">
        <v>7091</v>
      </c>
      <c r="F51">
        <v>0</v>
      </c>
      <c r="G51">
        <v>338738</v>
      </c>
      <c r="H51">
        <v>7337</v>
      </c>
      <c r="I51">
        <v>0</v>
      </c>
      <c r="J51">
        <v>0</v>
      </c>
      <c r="K51">
        <v>5700</v>
      </c>
      <c r="L51">
        <v>251747</v>
      </c>
      <c r="M51">
        <v>0</v>
      </c>
      <c r="N51">
        <v>0</v>
      </c>
      <c r="O51">
        <v>0</v>
      </c>
      <c r="P51">
        <v>0</v>
      </c>
      <c r="Q51">
        <v>183990</v>
      </c>
      <c r="R51">
        <v>0</v>
      </c>
      <c r="S51">
        <v>0</v>
      </c>
      <c r="T51">
        <v>48416</v>
      </c>
      <c r="U51">
        <v>85035</v>
      </c>
      <c r="V51">
        <v>1052081</v>
      </c>
      <c r="W51">
        <v>0</v>
      </c>
      <c r="X51">
        <v>3000</v>
      </c>
      <c r="Y51">
        <v>215800</v>
      </c>
      <c r="Z51">
        <v>421341</v>
      </c>
      <c r="AA51">
        <v>0</v>
      </c>
      <c r="AB51">
        <v>51113</v>
      </c>
      <c r="AC51">
        <v>0</v>
      </c>
      <c r="AD51">
        <v>0</v>
      </c>
      <c r="AF51">
        <v>12409353</v>
      </c>
      <c r="AG51">
        <v>0</v>
      </c>
      <c r="AH51">
        <v>12410</v>
      </c>
      <c r="AI51">
        <v>15591</v>
      </c>
      <c r="AJ51">
        <v>0</v>
      </c>
      <c r="AK51">
        <v>0</v>
      </c>
      <c r="AL51">
        <v>1443282</v>
      </c>
      <c r="AM51">
        <v>0</v>
      </c>
      <c r="AN51">
        <v>1281547</v>
      </c>
      <c r="AO51">
        <v>0</v>
      </c>
      <c r="AP51">
        <v>165740</v>
      </c>
      <c r="AQ51">
        <v>0</v>
      </c>
      <c r="AR51">
        <v>0</v>
      </c>
      <c r="AS51">
        <v>20097</v>
      </c>
      <c r="AT51">
        <v>36050</v>
      </c>
      <c r="AU51">
        <v>47714502</v>
      </c>
      <c r="AV51">
        <v>3865048</v>
      </c>
      <c r="AW51">
        <v>0</v>
      </c>
      <c r="AX51">
        <v>11826</v>
      </c>
      <c r="AY51">
        <v>402931</v>
      </c>
      <c r="BA51">
        <v>7940</v>
      </c>
      <c r="BB51">
        <v>243585</v>
      </c>
      <c r="BC51">
        <v>130000</v>
      </c>
      <c r="BD51">
        <v>0</v>
      </c>
      <c r="BE51">
        <v>3281</v>
      </c>
      <c r="BF51">
        <v>858549</v>
      </c>
      <c r="BG51">
        <v>0</v>
      </c>
      <c r="BH51">
        <v>306658</v>
      </c>
      <c r="BI51">
        <v>1040</v>
      </c>
      <c r="BJ51">
        <v>0</v>
      </c>
      <c r="BK51">
        <v>0</v>
      </c>
      <c r="BL51">
        <v>5352310</v>
      </c>
      <c r="BM51">
        <v>3366820</v>
      </c>
      <c r="BN51">
        <v>379893</v>
      </c>
      <c r="BO51">
        <v>2115654</v>
      </c>
      <c r="BP51">
        <v>8886182</v>
      </c>
      <c r="BQ51">
        <v>50</v>
      </c>
      <c r="BR51">
        <v>399040</v>
      </c>
      <c r="BS51" s="180">
        <v>0</v>
      </c>
      <c r="BT51" s="180">
        <v>6099275</v>
      </c>
      <c r="BU51" s="180">
        <v>40050</v>
      </c>
      <c r="BV51" s="180">
        <v>34169</v>
      </c>
      <c r="BW51" s="180">
        <v>475231</v>
      </c>
      <c r="BX51" s="180">
        <v>0</v>
      </c>
      <c r="BY51" s="180">
        <v>168895</v>
      </c>
      <c r="BZ51" s="180">
        <v>0</v>
      </c>
      <c r="CA51" s="180">
        <v>0</v>
      </c>
      <c r="CB51" s="180">
        <v>4000</v>
      </c>
      <c r="CC51" s="180">
        <v>0</v>
      </c>
      <c r="CD51" s="180">
        <v>0</v>
      </c>
      <c r="CE51" s="180"/>
      <c r="CF51" s="180"/>
      <c r="CG51" s="180"/>
      <c r="CH51" s="180"/>
      <c r="CI51" s="180"/>
      <c r="CJ51" s="180"/>
      <c r="CK51" s="180"/>
      <c r="CL51" s="180"/>
      <c r="CM51" s="180"/>
      <c r="CN51" s="180"/>
      <c r="CO51" s="180"/>
      <c r="CP51" s="180"/>
      <c r="CQ51" s="180"/>
      <c r="CR51" s="180"/>
      <c r="CS51" s="180"/>
      <c r="CT51" s="180"/>
      <c r="CU51" s="180"/>
    </row>
    <row r="52" spans="1:99" x14ac:dyDescent="0.3">
      <c r="A52">
        <v>328</v>
      </c>
      <c r="B52" t="s">
        <v>304</v>
      </c>
      <c r="E52">
        <v>613132</v>
      </c>
      <c r="F52">
        <v>0</v>
      </c>
      <c r="G52">
        <v>0</v>
      </c>
      <c r="H52">
        <v>0</v>
      </c>
      <c r="I52">
        <v>0</v>
      </c>
      <c r="J52">
        <v>0</v>
      </c>
      <c r="K52">
        <v>0</v>
      </c>
      <c r="L52">
        <v>757399</v>
      </c>
      <c r="M52">
        <v>0</v>
      </c>
      <c r="N52">
        <v>0</v>
      </c>
      <c r="O52">
        <v>0</v>
      </c>
      <c r="P52">
        <v>0</v>
      </c>
      <c r="Q52">
        <v>602557</v>
      </c>
      <c r="R52">
        <v>0</v>
      </c>
      <c r="S52">
        <v>0</v>
      </c>
      <c r="T52">
        <v>1700092</v>
      </c>
      <c r="U52">
        <v>0</v>
      </c>
      <c r="V52">
        <v>0</v>
      </c>
      <c r="W52">
        <v>0</v>
      </c>
      <c r="X52">
        <v>461605</v>
      </c>
      <c r="Y52">
        <v>0</v>
      </c>
      <c r="Z52">
        <v>3706576</v>
      </c>
      <c r="AA52">
        <v>0</v>
      </c>
      <c r="AB52">
        <v>106813</v>
      </c>
      <c r="AC52">
        <v>0</v>
      </c>
      <c r="AD52">
        <v>0</v>
      </c>
      <c r="AF52">
        <v>24757043</v>
      </c>
      <c r="AG52">
        <v>0</v>
      </c>
      <c r="AH52">
        <v>0</v>
      </c>
      <c r="AI52">
        <v>4176614</v>
      </c>
      <c r="AJ52">
        <v>0</v>
      </c>
      <c r="AK52">
        <v>1834836</v>
      </c>
      <c r="AL52">
        <v>509585</v>
      </c>
      <c r="AM52">
        <v>1600886</v>
      </c>
      <c r="AN52">
        <v>20016502</v>
      </c>
      <c r="AO52">
        <v>0</v>
      </c>
      <c r="AP52">
        <v>10975</v>
      </c>
      <c r="AQ52">
        <v>0</v>
      </c>
      <c r="AR52">
        <v>0</v>
      </c>
      <c r="AS52">
        <v>1368229</v>
      </c>
      <c r="AT52">
        <v>0</v>
      </c>
      <c r="AU52">
        <v>223263532</v>
      </c>
      <c r="AV52">
        <v>13947649</v>
      </c>
      <c r="AW52">
        <v>124265</v>
      </c>
      <c r="AX52">
        <v>0</v>
      </c>
      <c r="AY52">
        <v>0</v>
      </c>
      <c r="BA52">
        <v>0</v>
      </c>
      <c r="BB52">
        <v>490200</v>
      </c>
      <c r="BC52">
        <v>84671</v>
      </c>
      <c r="BD52">
        <v>0</v>
      </c>
      <c r="BE52">
        <v>0</v>
      </c>
      <c r="BF52">
        <v>1145545</v>
      </c>
      <c r="BG52">
        <v>0</v>
      </c>
      <c r="BH52">
        <v>852821</v>
      </c>
      <c r="BI52">
        <v>103232</v>
      </c>
      <c r="BJ52">
        <v>0</v>
      </c>
      <c r="BK52">
        <v>0</v>
      </c>
      <c r="BL52">
        <v>16016897</v>
      </c>
      <c r="BM52">
        <v>33913640</v>
      </c>
      <c r="BN52">
        <v>423794</v>
      </c>
      <c r="BO52">
        <v>34001270</v>
      </c>
      <c r="BP52">
        <v>36471013</v>
      </c>
      <c r="BQ52">
        <v>1627933</v>
      </c>
      <c r="BR52">
        <v>955998</v>
      </c>
      <c r="BS52" s="180">
        <v>0</v>
      </c>
      <c r="BT52" s="180">
        <v>877325</v>
      </c>
      <c r="BU52" s="180">
        <v>0</v>
      </c>
      <c r="BV52" s="180">
        <v>229652</v>
      </c>
      <c r="BW52" s="180">
        <v>0</v>
      </c>
      <c r="BX52" s="180">
        <v>0</v>
      </c>
      <c r="BY52" s="180">
        <v>27302894</v>
      </c>
      <c r="BZ52" s="180">
        <v>0</v>
      </c>
      <c r="CA52" s="180">
        <v>0</v>
      </c>
      <c r="CB52" s="180">
        <v>272504</v>
      </c>
      <c r="CC52" s="180">
        <v>0</v>
      </c>
      <c r="CD52" s="180">
        <v>0</v>
      </c>
      <c r="CE52" s="180"/>
      <c r="CF52" s="180"/>
      <c r="CG52" s="180"/>
      <c r="CH52" s="180"/>
      <c r="CI52" s="180"/>
      <c r="CJ52" s="180"/>
      <c r="CK52" s="180"/>
      <c r="CL52" s="180"/>
      <c r="CM52" s="180"/>
      <c r="CN52" s="180"/>
      <c r="CO52" s="180"/>
      <c r="CP52" s="180"/>
      <c r="CQ52" s="180"/>
      <c r="CR52" s="180"/>
      <c r="CS52" s="180"/>
      <c r="CT52" s="180"/>
      <c r="CU52" s="180"/>
    </row>
    <row r="53" spans="1:99" x14ac:dyDescent="0.3">
      <c r="A53">
        <v>331</v>
      </c>
      <c r="B53" t="s">
        <v>238</v>
      </c>
      <c r="E53">
        <v>92419</v>
      </c>
      <c r="F53">
        <v>0</v>
      </c>
      <c r="G53">
        <v>25086</v>
      </c>
      <c r="H53">
        <v>36000</v>
      </c>
      <c r="I53">
        <v>0</v>
      </c>
      <c r="J53">
        <v>0</v>
      </c>
      <c r="K53">
        <v>35000</v>
      </c>
      <c r="L53">
        <v>441340</v>
      </c>
      <c r="M53">
        <v>0</v>
      </c>
      <c r="N53">
        <v>0</v>
      </c>
      <c r="O53">
        <v>0</v>
      </c>
      <c r="P53">
        <v>0</v>
      </c>
      <c r="Q53">
        <v>129102</v>
      </c>
      <c r="R53">
        <v>0</v>
      </c>
      <c r="S53">
        <v>68306</v>
      </c>
      <c r="T53">
        <v>29722</v>
      </c>
      <c r="U53">
        <v>25232</v>
      </c>
      <c r="V53">
        <v>912106</v>
      </c>
      <c r="W53">
        <v>0</v>
      </c>
      <c r="X53">
        <v>22052</v>
      </c>
      <c r="Y53">
        <v>23980</v>
      </c>
      <c r="Z53">
        <v>2103878</v>
      </c>
      <c r="AA53">
        <v>0</v>
      </c>
      <c r="AB53">
        <v>12718</v>
      </c>
      <c r="AC53">
        <v>0</v>
      </c>
      <c r="AD53">
        <v>0</v>
      </c>
      <c r="AF53">
        <v>4268149</v>
      </c>
      <c r="AG53">
        <v>0</v>
      </c>
      <c r="AH53">
        <v>0</v>
      </c>
      <c r="AI53">
        <v>541984</v>
      </c>
      <c r="AJ53">
        <v>0</v>
      </c>
      <c r="AK53">
        <v>0</v>
      </c>
      <c r="AL53">
        <v>2575137</v>
      </c>
      <c r="AM53">
        <v>53557</v>
      </c>
      <c r="AN53">
        <v>481341</v>
      </c>
      <c r="AO53">
        <v>0</v>
      </c>
      <c r="AP53">
        <v>169659</v>
      </c>
      <c r="AQ53">
        <v>0</v>
      </c>
      <c r="AR53">
        <v>0</v>
      </c>
      <c r="AS53">
        <v>204742</v>
      </c>
      <c r="AT53">
        <v>0</v>
      </c>
      <c r="AU53">
        <v>15000842</v>
      </c>
      <c r="AV53">
        <v>3831428</v>
      </c>
      <c r="AW53">
        <v>65957</v>
      </c>
      <c r="AX53">
        <v>14798</v>
      </c>
      <c r="AY53">
        <v>3502</v>
      </c>
      <c r="BA53">
        <v>21000</v>
      </c>
      <c r="BB53">
        <v>0</v>
      </c>
      <c r="BC53">
        <v>4000</v>
      </c>
      <c r="BD53">
        <v>0</v>
      </c>
      <c r="BE53">
        <v>21628</v>
      </c>
      <c r="BF53">
        <v>1965751</v>
      </c>
      <c r="BG53">
        <v>0</v>
      </c>
      <c r="BH53">
        <v>564163</v>
      </c>
      <c r="BI53">
        <v>30861</v>
      </c>
      <c r="BJ53">
        <v>0</v>
      </c>
      <c r="BK53">
        <v>0</v>
      </c>
      <c r="BL53">
        <v>1573058</v>
      </c>
      <c r="BM53">
        <v>2551152</v>
      </c>
      <c r="BN53">
        <v>425330</v>
      </c>
      <c r="BO53">
        <v>2329485</v>
      </c>
      <c r="BP53">
        <v>8471896</v>
      </c>
      <c r="BQ53">
        <v>0</v>
      </c>
      <c r="BR53">
        <v>93350</v>
      </c>
      <c r="BS53" s="180">
        <v>0</v>
      </c>
      <c r="BT53" s="180">
        <v>0</v>
      </c>
      <c r="BU53" s="180">
        <v>0</v>
      </c>
      <c r="BV53" s="180">
        <v>0</v>
      </c>
      <c r="BW53" s="180">
        <v>315686</v>
      </c>
      <c r="BX53" s="180">
        <v>0</v>
      </c>
      <c r="BY53" s="180">
        <v>3591736</v>
      </c>
      <c r="BZ53" s="180">
        <v>12750</v>
      </c>
      <c r="CA53" s="180">
        <v>0</v>
      </c>
      <c r="CB53" s="180">
        <v>3500</v>
      </c>
      <c r="CC53" s="180">
        <v>0</v>
      </c>
      <c r="CD53" s="180">
        <v>0</v>
      </c>
      <c r="CE53" s="180"/>
      <c r="CF53" s="180"/>
      <c r="CG53" s="180"/>
      <c r="CH53" s="180"/>
      <c r="CI53" s="180"/>
      <c r="CJ53" s="180"/>
      <c r="CK53" s="180"/>
      <c r="CL53" s="180"/>
      <c r="CM53" s="180"/>
      <c r="CN53" s="180"/>
      <c r="CO53" s="180"/>
      <c r="CP53" s="180"/>
      <c r="CQ53" s="180"/>
      <c r="CR53" s="180"/>
      <c r="CS53" s="180"/>
      <c r="CT53" s="180"/>
      <c r="CU53" s="180"/>
    </row>
    <row r="54" spans="1:99" x14ac:dyDescent="0.3">
      <c r="A54">
        <v>332</v>
      </c>
      <c r="B54" t="s">
        <v>239</v>
      </c>
      <c r="E54">
        <v>404382</v>
      </c>
      <c r="F54">
        <v>0</v>
      </c>
      <c r="G54">
        <v>14550</v>
      </c>
      <c r="H54">
        <v>118063</v>
      </c>
      <c r="I54">
        <v>0</v>
      </c>
      <c r="J54">
        <v>0</v>
      </c>
      <c r="K54">
        <v>14455</v>
      </c>
      <c r="L54">
        <v>215406</v>
      </c>
      <c r="M54">
        <v>0</v>
      </c>
      <c r="N54">
        <v>0</v>
      </c>
      <c r="O54">
        <v>0</v>
      </c>
      <c r="P54">
        <v>26936</v>
      </c>
      <c r="Q54">
        <v>1925943</v>
      </c>
      <c r="R54">
        <v>0</v>
      </c>
      <c r="S54">
        <v>458854</v>
      </c>
      <c r="T54">
        <v>805736</v>
      </c>
      <c r="U54">
        <v>13512</v>
      </c>
      <c r="V54">
        <v>745767</v>
      </c>
      <c r="W54">
        <v>0</v>
      </c>
      <c r="X54">
        <v>13075</v>
      </c>
      <c r="Y54">
        <v>75841</v>
      </c>
      <c r="Z54">
        <v>1068918</v>
      </c>
      <c r="AA54">
        <v>0</v>
      </c>
      <c r="AB54">
        <v>0</v>
      </c>
      <c r="AC54">
        <v>0</v>
      </c>
      <c r="AD54">
        <v>0</v>
      </c>
      <c r="AF54">
        <v>14046147</v>
      </c>
      <c r="AG54">
        <v>0</v>
      </c>
      <c r="AH54">
        <v>9170</v>
      </c>
      <c r="AI54">
        <v>2238110</v>
      </c>
      <c r="AJ54">
        <v>0</v>
      </c>
      <c r="AK54">
        <v>1715562</v>
      </c>
      <c r="AL54">
        <v>2745596</v>
      </c>
      <c r="AM54">
        <v>1360930</v>
      </c>
      <c r="AN54">
        <v>2451974</v>
      </c>
      <c r="AO54">
        <v>0</v>
      </c>
      <c r="AP54">
        <v>113983</v>
      </c>
      <c r="AQ54">
        <v>0</v>
      </c>
      <c r="AR54">
        <v>0</v>
      </c>
      <c r="AS54">
        <v>110067</v>
      </c>
      <c r="AT54">
        <v>88291</v>
      </c>
      <c r="AU54">
        <v>100912506</v>
      </c>
      <c r="AV54">
        <v>19765766</v>
      </c>
      <c r="AW54">
        <v>827236</v>
      </c>
      <c r="AX54">
        <v>0</v>
      </c>
      <c r="AY54">
        <v>274039</v>
      </c>
      <c r="BA54">
        <v>0</v>
      </c>
      <c r="BB54">
        <v>475086</v>
      </c>
      <c r="BC54">
        <v>0</v>
      </c>
      <c r="BD54">
        <v>0</v>
      </c>
      <c r="BE54">
        <v>143657</v>
      </c>
      <c r="BF54">
        <v>1410410</v>
      </c>
      <c r="BG54">
        <v>0</v>
      </c>
      <c r="BH54">
        <v>936124</v>
      </c>
      <c r="BI54">
        <v>0</v>
      </c>
      <c r="BJ54">
        <v>0</v>
      </c>
      <c r="BK54">
        <v>0</v>
      </c>
      <c r="BL54">
        <v>9665198</v>
      </c>
      <c r="BM54">
        <v>17448722</v>
      </c>
      <c r="BN54">
        <v>751086</v>
      </c>
      <c r="BO54">
        <v>19268143</v>
      </c>
      <c r="BP54">
        <v>25640073</v>
      </c>
      <c r="BQ54">
        <v>1577028</v>
      </c>
      <c r="BR54">
        <v>2365689</v>
      </c>
      <c r="BS54" s="180">
        <v>0</v>
      </c>
      <c r="BT54" s="180">
        <v>0</v>
      </c>
      <c r="BU54" s="180">
        <v>52628</v>
      </c>
      <c r="BV54" s="180">
        <v>18881</v>
      </c>
      <c r="BW54" s="180">
        <v>137347</v>
      </c>
      <c r="BX54" s="180">
        <v>0</v>
      </c>
      <c r="BY54" s="180">
        <v>20705618</v>
      </c>
      <c r="BZ54" s="180">
        <v>1298754</v>
      </c>
      <c r="CA54" s="180">
        <v>0</v>
      </c>
      <c r="CB54" s="180">
        <v>180966</v>
      </c>
      <c r="CC54" s="180">
        <v>0</v>
      </c>
      <c r="CD54" s="180">
        <v>0</v>
      </c>
      <c r="CE54" s="180"/>
      <c r="CF54" s="180"/>
      <c r="CG54" s="180"/>
      <c r="CH54" s="180"/>
      <c r="CI54" s="180"/>
      <c r="CJ54" s="180"/>
      <c r="CK54" s="180"/>
      <c r="CL54" s="180"/>
      <c r="CM54" s="180"/>
      <c r="CN54" s="180"/>
      <c r="CO54" s="180"/>
      <c r="CP54" s="180"/>
      <c r="CQ54" s="180"/>
      <c r="CR54" s="180"/>
      <c r="CS54" s="180"/>
      <c r="CT54" s="180"/>
      <c r="CU54" s="180"/>
    </row>
    <row r="55" spans="1:99" x14ac:dyDescent="0.3">
      <c r="A55">
        <v>333</v>
      </c>
      <c r="B55" t="s">
        <v>176</v>
      </c>
      <c r="E55">
        <v>1365719</v>
      </c>
      <c r="F55">
        <v>634837</v>
      </c>
      <c r="G55">
        <v>1205081</v>
      </c>
      <c r="H55">
        <v>1493974</v>
      </c>
      <c r="I55">
        <v>319277</v>
      </c>
      <c r="J55">
        <v>104237</v>
      </c>
      <c r="K55">
        <v>411302</v>
      </c>
      <c r="L55">
        <v>3227418</v>
      </c>
      <c r="M55">
        <v>118179692</v>
      </c>
      <c r="N55">
        <v>4136033</v>
      </c>
      <c r="O55">
        <v>9715716</v>
      </c>
      <c r="P55">
        <v>151266</v>
      </c>
      <c r="Q55">
        <v>13037299</v>
      </c>
      <c r="R55">
        <v>189616</v>
      </c>
      <c r="S55">
        <v>636924</v>
      </c>
      <c r="T55">
        <v>1829689</v>
      </c>
      <c r="U55">
        <v>2625228</v>
      </c>
      <c r="V55">
        <v>7181027</v>
      </c>
      <c r="W55">
        <v>1305856</v>
      </c>
      <c r="X55">
        <v>721872</v>
      </c>
      <c r="Y55">
        <v>185961</v>
      </c>
      <c r="Z55">
        <v>70307243</v>
      </c>
      <c r="AA55">
        <v>4821145</v>
      </c>
      <c r="AB55">
        <v>1176571</v>
      </c>
      <c r="AC55">
        <v>65789842</v>
      </c>
      <c r="AD55">
        <v>793909</v>
      </c>
      <c r="AF55">
        <v>60944497</v>
      </c>
      <c r="AG55">
        <v>1175958</v>
      </c>
      <c r="AH55">
        <v>339109</v>
      </c>
      <c r="AI55">
        <v>2715056</v>
      </c>
      <c r="AJ55">
        <v>1338676</v>
      </c>
      <c r="AK55">
        <v>92134</v>
      </c>
      <c r="AL55">
        <v>24108230</v>
      </c>
      <c r="AM55">
        <v>700481</v>
      </c>
      <c r="AN55">
        <v>17170379</v>
      </c>
      <c r="AO55">
        <v>172103</v>
      </c>
      <c r="AP55">
        <v>6067231</v>
      </c>
      <c r="AQ55">
        <v>3075194</v>
      </c>
      <c r="AR55">
        <v>275822</v>
      </c>
      <c r="AS55">
        <v>2458710</v>
      </c>
      <c r="AT55">
        <v>1385166</v>
      </c>
      <c r="AU55">
        <v>236811195</v>
      </c>
      <c r="AV55">
        <v>64372343</v>
      </c>
      <c r="AW55">
        <v>1681922</v>
      </c>
      <c r="AX55">
        <v>271145</v>
      </c>
      <c r="AY55">
        <v>489383</v>
      </c>
      <c r="BA55">
        <v>792803</v>
      </c>
      <c r="BB55">
        <v>4345731</v>
      </c>
      <c r="BC55">
        <v>1396548</v>
      </c>
      <c r="BD55">
        <v>268237</v>
      </c>
      <c r="BE55">
        <v>164397</v>
      </c>
      <c r="BF55">
        <v>23597880</v>
      </c>
      <c r="BG55">
        <v>77328</v>
      </c>
      <c r="BH55">
        <v>16354013</v>
      </c>
      <c r="BI55">
        <v>1092609</v>
      </c>
      <c r="BJ55">
        <v>588492</v>
      </c>
      <c r="BK55">
        <v>527188</v>
      </c>
      <c r="BL55">
        <v>12900796</v>
      </c>
      <c r="BM55">
        <v>8779275</v>
      </c>
      <c r="BN55">
        <v>1491174</v>
      </c>
      <c r="BO55">
        <v>65845958</v>
      </c>
      <c r="BP55">
        <v>83784297</v>
      </c>
      <c r="BQ55">
        <v>343507</v>
      </c>
      <c r="BR55">
        <v>6179348</v>
      </c>
      <c r="BS55" s="180">
        <v>3519757</v>
      </c>
      <c r="BT55" s="180">
        <v>15173593</v>
      </c>
      <c r="BU55" s="180">
        <v>285037</v>
      </c>
      <c r="BV55" s="180">
        <v>617931</v>
      </c>
      <c r="BW55" s="180">
        <v>6632813</v>
      </c>
      <c r="BX55" s="180">
        <v>2384175</v>
      </c>
      <c r="BY55" s="180">
        <v>46131117</v>
      </c>
      <c r="BZ55" s="180">
        <v>466929</v>
      </c>
      <c r="CA55" s="180">
        <v>8245173</v>
      </c>
      <c r="CB55" s="180">
        <v>1003325</v>
      </c>
      <c r="CC55" s="180">
        <v>2854248</v>
      </c>
      <c r="CD55" s="180">
        <v>66524452</v>
      </c>
      <c r="CE55" s="180"/>
      <c r="CF55" s="180"/>
      <c r="CG55" s="180"/>
      <c r="CH55" s="180"/>
      <c r="CI55" s="180"/>
      <c r="CJ55" s="180"/>
      <c r="CK55" s="180"/>
      <c r="CL55" s="180"/>
      <c r="CM55" s="180"/>
      <c r="CN55" s="180"/>
      <c r="CO55" s="180"/>
      <c r="CP55" s="180"/>
      <c r="CQ55" s="180"/>
      <c r="CR55" s="180"/>
      <c r="CS55" s="180"/>
      <c r="CT55" s="180"/>
      <c r="CU55" s="180"/>
    </row>
    <row r="56" spans="1:99" x14ac:dyDescent="0.3">
      <c r="A56">
        <v>334</v>
      </c>
      <c r="B56" t="s">
        <v>261</v>
      </c>
      <c r="E56">
        <v>5561467</v>
      </c>
      <c r="F56">
        <v>1741115</v>
      </c>
      <c r="G56">
        <v>1443892</v>
      </c>
      <c r="H56">
        <v>1447509</v>
      </c>
      <c r="I56">
        <v>939610</v>
      </c>
      <c r="J56">
        <v>149078</v>
      </c>
      <c r="K56">
        <v>112056</v>
      </c>
      <c r="L56">
        <v>17039095</v>
      </c>
      <c r="M56">
        <v>859246451</v>
      </c>
      <c r="N56">
        <v>4023043</v>
      </c>
      <c r="O56">
        <v>18230013</v>
      </c>
      <c r="P56">
        <v>76699</v>
      </c>
      <c r="Q56">
        <v>29836105</v>
      </c>
      <c r="R56">
        <v>269105</v>
      </c>
      <c r="S56">
        <v>861645</v>
      </c>
      <c r="T56">
        <v>3281876</v>
      </c>
      <c r="U56">
        <v>1565236</v>
      </c>
      <c r="V56">
        <v>10828606</v>
      </c>
      <c r="W56">
        <v>3590653</v>
      </c>
      <c r="X56">
        <v>1222434</v>
      </c>
      <c r="Y56">
        <v>2820535</v>
      </c>
      <c r="Z56">
        <v>189744511</v>
      </c>
      <c r="AA56">
        <v>1935669</v>
      </c>
      <c r="AB56">
        <v>776575</v>
      </c>
      <c r="AC56">
        <v>163025036</v>
      </c>
      <c r="AD56">
        <v>2872836</v>
      </c>
      <c r="AF56">
        <v>501393153</v>
      </c>
      <c r="AG56">
        <v>594862</v>
      </c>
      <c r="AH56">
        <v>384396</v>
      </c>
      <c r="AI56">
        <v>13849174</v>
      </c>
      <c r="AJ56">
        <v>2195974</v>
      </c>
      <c r="AK56">
        <v>672243</v>
      </c>
      <c r="AL56">
        <v>141807295</v>
      </c>
      <c r="AM56">
        <v>1126870</v>
      </c>
      <c r="AN56">
        <v>33101025</v>
      </c>
      <c r="AO56">
        <v>0</v>
      </c>
      <c r="AP56">
        <v>9045292</v>
      </c>
      <c r="AQ56">
        <v>5718550</v>
      </c>
      <c r="AR56">
        <v>308791</v>
      </c>
      <c r="AS56">
        <v>5705875</v>
      </c>
      <c r="AT56">
        <v>510519</v>
      </c>
      <c r="AU56">
        <v>955048023</v>
      </c>
      <c r="AV56">
        <v>259964580</v>
      </c>
      <c r="AW56">
        <v>8941211</v>
      </c>
      <c r="AX56">
        <v>833737</v>
      </c>
      <c r="AY56">
        <v>542254</v>
      </c>
      <c r="BA56">
        <v>663421</v>
      </c>
      <c r="BB56">
        <v>23451240</v>
      </c>
      <c r="BC56">
        <v>747441</v>
      </c>
      <c r="BD56">
        <v>443867</v>
      </c>
      <c r="BE56">
        <v>54824</v>
      </c>
      <c r="BF56">
        <v>63034607</v>
      </c>
      <c r="BG56">
        <v>82656</v>
      </c>
      <c r="BH56">
        <v>25894688</v>
      </c>
      <c r="BI56">
        <v>5971496</v>
      </c>
      <c r="BJ56">
        <v>1303804</v>
      </c>
      <c r="BK56">
        <v>0</v>
      </c>
      <c r="BL56">
        <v>46620048</v>
      </c>
      <c r="BM56">
        <v>62830420</v>
      </c>
      <c r="BN56">
        <v>4613028</v>
      </c>
      <c r="BO56">
        <v>154457490</v>
      </c>
      <c r="BP56">
        <v>850213811</v>
      </c>
      <c r="BQ56">
        <v>1683568</v>
      </c>
      <c r="BR56">
        <v>39018821</v>
      </c>
      <c r="BS56" s="180">
        <v>4187666</v>
      </c>
      <c r="BT56" s="180">
        <v>28791814</v>
      </c>
      <c r="BU56" s="180">
        <v>2113840</v>
      </c>
      <c r="BV56" s="180">
        <v>1445251</v>
      </c>
      <c r="BW56" s="180">
        <v>11459692</v>
      </c>
      <c r="BX56" s="180">
        <v>2719876</v>
      </c>
      <c r="BY56" s="180">
        <v>180918200</v>
      </c>
      <c r="BZ56" s="180">
        <v>1610482</v>
      </c>
      <c r="CA56" s="180">
        <v>37994721</v>
      </c>
      <c r="CB56" s="180">
        <v>1337497</v>
      </c>
      <c r="CC56" s="180">
        <v>6862773</v>
      </c>
      <c r="CD56" s="180">
        <v>153725173</v>
      </c>
      <c r="CE56" s="180"/>
      <c r="CF56" s="180"/>
      <c r="CG56" s="180"/>
      <c r="CH56" s="180"/>
      <c r="CI56" s="180"/>
      <c r="CJ56" s="180"/>
      <c r="CK56" s="180"/>
      <c r="CL56" s="180"/>
      <c r="CM56" s="180"/>
      <c r="CN56" s="180"/>
      <c r="CO56" s="180"/>
      <c r="CP56" s="180"/>
      <c r="CQ56" s="180"/>
      <c r="CR56" s="180"/>
      <c r="CS56" s="180"/>
      <c r="CT56" s="180"/>
      <c r="CU56" s="180"/>
    </row>
    <row r="57" spans="1:99" x14ac:dyDescent="0.3">
      <c r="A57">
        <v>335</v>
      </c>
      <c r="B57" t="s">
        <v>109</v>
      </c>
      <c r="E57">
        <v>0</v>
      </c>
      <c r="F57">
        <v>21185</v>
      </c>
      <c r="G57">
        <v>0</v>
      </c>
      <c r="H57">
        <v>0</v>
      </c>
      <c r="I57">
        <v>0</v>
      </c>
      <c r="J57">
        <v>0</v>
      </c>
      <c r="K57">
        <v>170415</v>
      </c>
      <c r="L57">
        <v>34314</v>
      </c>
      <c r="M57">
        <v>34941339</v>
      </c>
      <c r="N57">
        <v>263044</v>
      </c>
      <c r="O57">
        <v>0</v>
      </c>
      <c r="P57">
        <v>1594</v>
      </c>
      <c r="Q57">
        <v>0</v>
      </c>
      <c r="R57">
        <v>56317</v>
      </c>
      <c r="S57">
        <v>0</v>
      </c>
      <c r="T57">
        <v>1112620</v>
      </c>
      <c r="U57">
        <v>0</v>
      </c>
      <c r="V57">
        <v>0</v>
      </c>
      <c r="W57">
        <v>2450</v>
      </c>
      <c r="X57">
        <v>0</v>
      </c>
      <c r="Y57">
        <v>0</v>
      </c>
      <c r="Z57">
        <v>515032</v>
      </c>
      <c r="AA57">
        <v>0</v>
      </c>
      <c r="AB57">
        <v>0</v>
      </c>
      <c r="AC57">
        <v>48273</v>
      </c>
      <c r="AD57">
        <v>0</v>
      </c>
      <c r="AF57">
        <v>12927291</v>
      </c>
      <c r="AG57">
        <v>0</v>
      </c>
      <c r="AH57">
        <v>0</v>
      </c>
      <c r="AI57">
        <v>0</v>
      </c>
      <c r="AJ57">
        <v>0</v>
      </c>
      <c r="AK57">
        <v>45574</v>
      </c>
      <c r="AL57">
        <v>0</v>
      </c>
      <c r="AM57">
        <v>0</v>
      </c>
      <c r="AN57">
        <v>0</v>
      </c>
      <c r="AO57">
        <v>0</v>
      </c>
      <c r="AP57">
        <v>0</v>
      </c>
      <c r="AQ57">
        <v>0</v>
      </c>
      <c r="AR57">
        <v>51675</v>
      </c>
      <c r="AS57">
        <v>0</v>
      </c>
      <c r="AT57">
        <v>0</v>
      </c>
      <c r="AU57">
        <v>4264910</v>
      </c>
      <c r="AV57">
        <v>0</v>
      </c>
      <c r="AW57">
        <v>716976</v>
      </c>
      <c r="AX57">
        <v>0</v>
      </c>
      <c r="AY57">
        <v>4170</v>
      </c>
      <c r="BA57">
        <v>0</v>
      </c>
      <c r="BB57">
        <v>1249159</v>
      </c>
      <c r="BC57">
        <v>0</v>
      </c>
      <c r="BD57">
        <v>61283</v>
      </c>
      <c r="BE57">
        <v>0</v>
      </c>
      <c r="BF57">
        <v>36238</v>
      </c>
      <c r="BG57">
        <v>0</v>
      </c>
      <c r="BH57">
        <v>5425365</v>
      </c>
      <c r="BI57">
        <v>733306</v>
      </c>
      <c r="BJ57">
        <v>87168</v>
      </c>
      <c r="BK57">
        <v>50602</v>
      </c>
      <c r="BL57">
        <v>0</v>
      </c>
      <c r="BM57">
        <v>0</v>
      </c>
      <c r="BN57">
        <v>0</v>
      </c>
      <c r="BO57">
        <v>0</v>
      </c>
      <c r="BP57">
        <v>0</v>
      </c>
      <c r="BQ57">
        <v>0</v>
      </c>
      <c r="BR57">
        <v>0</v>
      </c>
      <c r="BS57" s="180">
        <v>0</v>
      </c>
      <c r="BT57" s="180">
        <v>0</v>
      </c>
      <c r="BU57" s="180">
        <v>0</v>
      </c>
      <c r="BV57" s="180">
        <v>0</v>
      </c>
      <c r="BW57" s="180">
        <v>0</v>
      </c>
      <c r="BX57" s="180">
        <v>900958</v>
      </c>
      <c r="BY57" s="180">
        <v>0</v>
      </c>
      <c r="BZ57" s="180">
        <v>0</v>
      </c>
      <c r="CA57" s="180">
        <v>0</v>
      </c>
      <c r="CB57" s="180">
        <v>0</v>
      </c>
      <c r="CC57" s="180">
        <v>0</v>
      </c>
      <c r="CD57" s="180">
        <v>524822</v>
      </c>
      <c r="CE57" s="180"/>
      <c r="CF57" s="180"/>
      <c r="CG57" s="180"/>
      <c r="CH57" s="180"/>
      <c r="CI57" s="180"/>
      <c r="CJ57" s="180"/>
      <c r="CK57" s="180"/>
      <c r="CL57" s="180"/>
      <c r="CM57" s="180"/>
      <c r="CN57" s="180"/>
      <c r="CO57" s="180"/>
      <c r="CP57" s="180"/>
      <c r="CQ57" s="180"/>
      <c r="CR57" s="180"/>
      <c r="CS57" s="180"/>
      <c r="CT57" s="180"/>
      <c r="CU57" s="180"/>
    </row>
    <row r="58" spans="1:99" x14ac:dyDescent="0.3">
      <c r="A58">
        <v>336</v>
      </c>
      <c r="B58" t="s">
        <v>882</v>
      </c>
      <c r="E58">
        <v>150615</v>
      </c>
      <c r="F58">
        <v>38887</v>
      </c>
      <c r="G58">
        <v>49709</v>
      </c>
      <c r="H58">
        <v>130716</v>
      </c>
      <c r="I58">
        <v>3569</v>
      </c>
      <c r="J58">
        <v>1128</v>
      </c>
      <c r="K58">
        <v>170563</v>
      </c>
      <c r="L58">
        <v>867127</v>
      </c>
      <c r="M58">
        <v>69446293</v>
      </c>
      <c r="N58">
        <v>18978</v>
      </c>
      <c r="O58">
        <v>705696</v>
      </c>
      <c r="P58">
        <v>12814</v>
      </c>
      <c r="Q58">
        <v>6691579</v>
      </c>
      <c r="R58">
        <v>2000</v>
      </c>
      <c r="S58">
        <v>20431</v>
      </c>
      <c r="T58">
        <v>1256378</v>
      </c>
      <c r="U58">
        <v>34031</v>
      </c>
      <c r="V58">
        <v>1422520</v>
      </c>
      <c r="W58">
        <v>50097</v>
      </c>
      <c r="X58">
        <v>19196</v>
      </c>
      <c r="Y58">
        <v>169378</v>
      </c>
      <c r="Z58">
        <v>6256725</v>
      </c>
      <c r="AA58">
        <v>639524</v>
      </c>
      <c r="AB58">
        <v>14615</v>
      </c>
      <c r="AC58">
        <v>7419583</v>
      </c>
      <c r="AD58">
        <v>0</v>
      </c>
      <c r="AF58">
        <v>32909024</v>
      </c>
      <c r="AG58">
        <v>31265</v>
      </c>
      <c r="AH58">
        <v>2770</v>
      </c>
      <c r="AI58">
        <v>604139</v>
      </c>
      <c r="AJ58">
        <v>42971</v>
      </c>
      <c r="AK58">
        <v>491</v>
      </c>
      <c r="AL58">
        <v>6585677</v>
      </c>
      <c r="AM58">
        <v>3917</v>
      </c>
      <c r="AN58">
        <v>5185682</v>
      </c>
      <c r="AO58">
        <v>9518</v>
      </c>
      <c r="AP58">
        <v>282076</v>
      </c>
      <c r="AQ58">
        <v>56246</v>
      </c>
      <c r="AR58">
        <v>711</v>
      </c>
      <c r="AS58">
        <v>248646</v>
      </c>
      <c r="AT58">
        <v>176296</v>
      </c>
      <c r="AU58">
        <v>100675180</v>
      </c>
      <c r="AV58">
        <v>37846642</v>
      </c>
      <c r="AW58">
        <v>926658</v>
      </c>
      <c r="AX58">
        <v>20409</v>
      </c>
      <c r="AY58">
        <v>19415</v>
      </c>
      <c r="BA58">
        <v>239</v>
      </c>
      <c r="BB58">
        <v>1398568</v>
      </c>
      <c r="BC58">
        <v>6927</v>
      </c>
      <c r="BD58">
        <v>9705</v>
      </c>
      <c r="BE58">
        <v>3414</v>
      </c>
      <c r="BF58">
        <v>2262321</v>
      </c>
      <c r="BG58">
        <v>0</v>
      </c>
      <c r="BH58">
        <v>700018</v>
      </c>
      <c r="BI58">
        <v>1011070</v>
      </c>
      <c r="BJ58">
        <v>10489</v>
      </c>
      <c r="BK58">
        <v>50410</v>
      </c>
      <c r="BL58">
        <v>2954769</v>
      </c>
      <c r="BM58">
        <v>2525553</v>
      </c>
      <c r="BN58">
        <v>892567</v>
      </c>
      <c r="BO58">
        <v>13046433</v>
      </c>
      <c r="BP58">
        <v>45670898</v>
      </c>
      <c r="BQ58">
        <v>6551</v>
      </c>
      <c r="BR58">
        <v>1120868</v>
      </c>
      <c r="BS58">
        <v>100847</v>
      </c>
      <c r="BT58">
        <v>1132355</v>
      </c>
      <c r="BU58">
        <v>4766</v>
      </c>
      <c r="BV58">
        <v>15445</v>
      </c>
      <c r="BW58">
        <v>2275698</v>
      </c>
      <c r="BX58">
        <v>1234100</v>
      </c>
      <c r="BY58">
        <v>21670276</v>
      </c>
      <c r="BZ58">
        <v>208115</v>
      </c>
      <c r="CA58">
        <v>24650331</v>
      </c>
      <c r="CB58">
        <v>72983</v>
      </c>
      <c r="CC58">
        <v>468454</v>
      </c>
      <c r="CD58">
        <v>25887540</v>
      </c>
    </row>
    <row r="59" spans="1:99" x14ac:dyDescent="0.3">
      <c r="A59">
        <v>337</v>
      </c>
      <c r="B59" t="s">
        <v>245</v>
      </c>
      <c r="E59">
        <v>104182</v>
      </c>
      <c r="F59">
        <v>440000</v>
      </c>
      <c r="G59">
        <v>0</v>
      </c>
      <c r="H59">
        <v>0</v>
      </c>
      <c r="I59">
        <v>0</v>
      </c>
      <c r="J59">
        <v>0</v>
      </c>
      <c r="K59">
        <v>0</v>
      </c>
      <c r="L59">
        <v>4419409</v>
      </c>
      <c r="M59">
        <v>101679020</v>
      </c>
      <c r="N59">
        <v>0</v>
      </c>
      <c r="O59">
        <v>7211091</v>
      </c>
      <c r="P59">
        <v>0</v>
      </c>
      <c r="Q59">
        <v>1025727</v>
      </c>
      <c r="R59">
        <v>0</v>
      </c>
      <c r="S59">
        <v>142764</v>
      </c>
      <c r="T59">
        <v>797321</v>
      </c>
      <c r="U59">
        <v>0</v>
      </c>
      <c r="V59">
        <v>528760</v>
      </c>
      <c r="W59">
        <v>0</v>
      </c>
      <c r="X59">
        <v>65289</v>
      </c>
      <c r="Y59">
        <v>337379</v>
      </c>
      <c r="Z59">
        <v>68040422</v>
      </c>
      <c r="AA59">
        <v>0</v>
      </c>
      <c r="AB59">
        <v>0</v>
      </c>
      <c r="AC59">
        <v>0</v>
      </c>
      <c r="AD59">
        <v>0</v>
      </c>
      <c r="AF59">
        <v>85792043</v>
      </c>
      <c r="AG59">
        <v>0</v>
      </c>
      <c r="AH59">
        <v>0</v>
      </c>
      <c r="AI59">
        <v>2423830</v>
      </c>
      <c r="AJ59">
        <v>0</v>
      </c>
      <c r="AK59">
        <v>0</v>
      </c>
      <c r="AL59">
        <v>26416986</v>
      </c>
      <c r="AM59">
        <v>0</v>
      </c>
      <c r="AN59">
        <v>0</v>
      </c>
      <c r="AO59">
        <v>0</v>
      </c>
      <c r="AP59">
        <v>21365</v>
      </c>
      <c r="AQ59">
        <v>200000</v>
      </c>
      <c r="AR59">
        <v>0</v>
      </c>
      <c r="AS59">
        <v>1625046</v>
      </c>
      <c r="AT59">
        <v>187997</v>
      </c>
      <c r="AU59">
        <v>427653231</v>
      </c>
      <c r="AV59">
        <v>42382813</v>
      </c>
      <c r="AW59">
        <v>1080927</v>
      </c>
      <c r="AX59">
        <v>6998</v>
      </c>
      <c r="AY59">
        <v>0</v>
      </c>
      <c r="BA59">
        <v>0</v>
      </c>
      <c r="BB59">
        <v>0</v>
      </c>
      <c r="BC59">
        <v>0</v>
      </c>
      <c r="BD59">
        <v>2910</v>
      </c>
      <c r="BE59">
        <v>0</v>
      </c>
      <c r="BF59">
        <v>17498555</v>
      </c>
      <c r="BG59">
        <v>0</v>
      </c>
      <c r="BH59">
        <v>5353797</v>
      </c>
      <c r="BI59">
        <v>661031</v>
      </c>
      <c r="BJ59">
        <v>0</v>
      </c>
      <c r="BK59">
        <v>0</v>
      </c>
      <c r="BL59">
        <v>3643860</v>
      </c>
      <c r="BM59">
        <v>42424151</v>
      </c>
      <c r="BN59">
        <v>572351</v>
      </c>
      <c r="BO59">
        <v>64200759</v>
      </c>
      <c r="BP59">
        <v>125811191</v>
      </c>
      <c r="BQ59">
        <v>6483</v>
      </c>
      <c r="BR59">
        <v>11009533</v>
      </c>
      <c r="BS59">
        <v>0</v>
      </c>
      <c r="BT59">
        <v>2239251</v>
      </c>
      <c r="BU59">
        <v>32607</v>
      </c>
      <c r="BV59">
        <v>0</v>
      </c>
      <c r="BW59">
        <v>9193583</v>
      </c>
      <c r="BX59">
        <v>0</v>
      </c>
      <c r="BY59">
        <v>79669339</v>
      </c>
      <c r="BZ59">
        <v>0</v>
      </c>
      <c r="CA59">
        <v>17302896</v>
      </c>
      <c r="CB59">
        <v>186439</v>
      </c>
      <c r="CC59">
        <v>0</v>
      </c>
      <c r="CD59">
        <v>37229519</v>
      </c>
    </row>
    <row r="60" spans="1:99" x14ac:dyDescent="0.3">
      <c r="A60">
        <v>338</v>
      </c>
      <c r="B60" t="s">
        <v>108</v>
      </c>
      <c r="E60">
        <v>3360383</v>
      </c>
      <c r="F60">
        <v>500091</v>
      </c>
      <c r="G60">
        <v>450076</v>
      </c>
      <c r="H60">
        <v>357057</v>
      </c>
      <c r="I60">
        <v>11387</v>
      </c>
      <c r="J60">
        <v>1128</v>
      </c>
      <c r="K60">
        <v>170563</v>
      </c>
      <c r="L60">
        <v>10603983</v>
      </c>
      <c r="M60">
        <v>323580934</v>
      </c>
      <c r="N60">
        <v>431319</v>
      </c>
      <c r="O60">
        <v>9857230</v>
      </c>
      <c r="P60">
        <v>12814</v>
      </c>
      <c r="Q60">
        <v>23375166</v>
      </c>
      <c r="R60">
        <v>58317</v>
      </c>
      <c r="S60">
        <v>293069</v>
      </c>
      <c r="T60">
        <v>2796760</v>
      </c>
      <c r="U60">
        <v>359031</v>
      </c>
      <c r="V60">
        <v>6041952</v>
      </c>
      <c r="W60">
        <v>1445174</v>
      </c>
      <c r="X60">
        <v>366874</v>
      </c>
      <c r="Y60">
        <v>1445917</v>
      </c>
      <c r="Z60">
        <v>93728074</v>
      </c>
      <c r="AA60">
        <v>639524</v>
      </c>
      <c r="AB60">
        <v>67913</v>
      </c>
      <c r="AC60">
        <v>105607811</v>
      </c>
      <c r="AD60">
        <v>0</v>
      </c>
      <c r="AF60">
        <v>239302745</v>
      </c>
      <c r="AG60">
        <v>31265</v>
      </c>
      <c r="AH60">
        <v>150008</v>
      </c>
      <c r="AI60">
        <v>7502687</v>
      </c>
      <c r="AJ60">
        <v>372465</v>
      </c>
      <c r="AK60">
        <v>46065</v>
      </c>
      <c r="AL60">
        <v>59875377</v>
      </c>
      <c r="AM60">
        <v>22892</v>
      </c>
      <c r="AN60">
        <v>26397254</v>
      </c>
      <c r="AO60">
        <v>9518</v>
      </c>
      <c r="AP60">
        <v>2475734</v>
      </c>
      <c r="AQ60">
        <v>1307498</v>
      </c>
      <c r="AR60">
        <v>52386</v>
      </c>
      <c r="AS60">
        <v>1955995</v>
      </c>
      <c r="AT60">
        <v>567260</v>
      </c>
      <c r="AU60">
        <v>779317580</v>
      </c>
      <c r="AV60">
        <v>213417696</v>
      </c>
      <c r="AW60">
        <v>2533177</v>
      </c>
      <c r="AX60">
        <v>157366</v>
      </c>
      <c r="AY60">
        <v>78368</v>
      </c>
      <c r="BA60">
        <v>60527</v>
      </c>
      <c r="BB60">
        <v>12283773</v>
      </c>
      <c r="BC60">
        <v>6927</v>
      </c>
      <c r="BD60">
        <v>71588</v>
      </c>
      <c r="BE60">
        <v>3414</v>
      </c>
      <c r="BF60">
        <v>28008839</v>
      </c>
      <c r="BG60">
        <v>0</v>
      </c>
      <c r="BH60">
        <v>20251679</v>
      </c>
      <c r="BI60">
        <v>8098872</v>
      </c>
      <c r="BJ60">
        <v>102784</v>
      </c>
      <c r="BK60">
        <v>50410</v>
      </c>
      <c r="BL60">
        <v>25154844</v>
      </c>
      <c r="BM60">
        <v>58235740</v>
      </c>
      <c r="BN60">
        <v>1683006</v>
      </c>
      <c r="BO60">
        <v>133809306</v>
      </c>
      <c r="BP60">
        <v>250773405</v>
      </c>
      <c r="BQ60">
        <v>9792</v>
      </c>
      <c r="BR60">
        <v>22544625</v>
      </c>
      <c r="BS60">
        <v>621190</v>
      </c>
      <c r="BT60">
        <v>10134614</v>
      </c>
      <c r="BU60">
        <v>423953</v>
      </c>
      <c r="BV60">
        <v>124556</v>
      </c>
      <c r="BW60">
        <v>10956400</v>
      </c>
      <c r="BX60">
        <v>3298240</v>
      </c>
      <c r="BY60">
        <v>118886981</v>
      </c>
      <c r="BZ60">
        <v>265343</v>
      </c>
      <c r="CA60">
        <v>46993771</v>
      </c>
      <c r="CB60">
        <v>242685</v>
      </c>
      <c r="CC60">
        <v>2657411</v>
      </c>
      <c r="CD60">
        <v>84378183</v>
      </c>
    </row>
    <row r="61" spans="1:99" x14ac:dyDescent="0.3">
      <c r="A61">
        <v>339</v>
      </c>
      <c r="B61" t="s">
        <v>181</v>
      </c>
      <c r="E61">
        <v>311270</v>
      </c>
      <c r="F61">
        <v>33193</v>
      </c>
      <c r="G61">
        <v>198518</v>
      </c>
      <c r="H61">
        <v>24217</v>
      </c>
      <c r="I61">
        <v>0</v>
      </c>
      <c r="J61">
        <v>1365</v>
      </c>
      <c r="K61">
        <v>0</v>
      </c>
      <c r="L61">
        <v>1129990</v>
      </c>
      <c r="M61">
        <v>15858533</v>
      </c>
      <c r="N61">
        <v>5180</v>
      </c>
      <c r="O61">
        <v>113892</v>
      </c>
      <c r="P61">
        <v>144000</v>
      </c>
      <c r="Q61">
        <v>1980385</v>
      </c>
      <c r="R61">
        <v>0</v>
      </c>
      <c r="S61">
        <v>36596</v>
      </c>
      <c r="T61">
        <v>569221</v>
      </c>
      <c r="U61">
        <v>30939</v>
      </c>
      <c r="V61">
        <v>336157</v>
      </c>
      <c r="W61">
        <v>384293</v>
      </c>
      <c r="X61">
        <v>85362</v>
      </c>
      <c r="Y61">
        <v>204359</v>
      </c>
      <c r="Z61">
        <v>14101168</v>
      </c>
      <c r="AA61">
        <v>0</v>
      </c>
      <c r="AB61">
        <v>15845</v>
      </c>
      <c r="AC61">
        <v>6506054</v>
      </c>
      <c r="AD61">
        <v>24917</v>
      </c>
      <c r="AF61">
        <v>12903235</v>
      </c>
      <c r="AG61">
        <v>5340</v>
      </c>
      <c r="AH61">
        <v>56225</v>
      </c>
      <c r="AI61">
        <v>916920</v>
      </c>
      <c r="AJ61">
        <v>50587</v>
      </c>
      <c r="AK61">
        <v>0</v>
      </c>
      <c r="AL61">
        <v>6589964</v>
      </c>
      <c r="AM61">
        <v>33060</v>
      </c>
      <c r="AN61">
        <v>2479455</v>
      </c>
      <c r="AO61">
        <v>9000</v>
      </c>
      <c r="AP61">
        <v>1068771</v>
      </c>
      <c r="AQ61">
        <v>193826</v>
      </c>
      <c r="AR61">
        <v>350</v>
      </c>
      <c r="AS61">
        <v>48992</v>
      </c>
      <c r="AT61">
        <v>20451</v>
      </c>
      <c r="AU61">
        <v>39209098</v>
      </c>
      <c r="AV61">
        <v>15191364</v>
      </c>
      <c r="AW61">
        <v>174589</v>
      </c>
      <c r="AX61">
        <v>49976</v>
      </c>
      <c r="AY61">
        <v>83006</v>
      </c>
      <c r="BA61">
        <v>2400</v>
      </c>
      <c r="BB61">
        <v>1014078</v>
      </c>
      <c r="BC61">
        <v>13075</v>
      </c>
      <c r="BD61">
        <v>27951</v>
      </c>
      <c r="BE61">
        <v>12340</v>
      </c>
      <c r="BF61">
        <v>1853245</v>
      </c>
      <c r="BG61">
        <v>0</v>
      </c>
      <c r="BH61">
        <v>1929428</v>
      </c>
      <c r="BI61">
        <v>196414</v>
      </c>
      <c r="BJ61">
        <v>1385</v>
      </c>
      <c r="BK61">
        <v>10000</v>
      </c>
      <c r="BL61">
        <v>3946830</v>
      </c>
      <c r="BM61">
        <v>626935</v>
      </c>
      <c r="BN61">
        <v>225600</v>
      </c>
      <c r="BO61">
        <v>12981467</v>
      </c>
      <c r="BP61">
        <v>33460553</v>
      </c>
      <c r="BQ61">
        <v>49396</v>
      </c>
      <c r="BR61">
        <v>1560959</v>
      </c>
      <c r="BS61" s="180">
        <v>31732</v>
      </c>
      <c r="BT61" s="180">
        <v>48702</v>
      </c>
      <c r="BU61" s="180">
        <v>32079</v>
      </c>
      <c r="BV61" s="180">
        <v>8855</v>
      </c>
      <c r="BW61" s="180">
        <v>947332</v>
      </c>
      <c r="BX61" s="180">
        <v>736560</v>
      </c>
      <c r="BY61" s="180">
        <v>10328217</v>
      </c>
      <c r="BZ61" s="180">
        <v>76188</v>
      </c>
      <c r="CA61" s="180">
        <v>1071842</v>
      </c>
      <c r="CB61" s="180">
        <v>150</v>
      </c>
      <c r="CC61" s="180">
        <v>563811</v>
      </c>
      <c r="CD61" s="180">
        <v>3231132</v>
      </c>
      <c r="CE61" s="180"/>
      <c r="CF61" s="180"/>
      <c r="CG61" s="180"/>
      <c r="CH61" s="180"/>
      <c r="CI61" s="180"/>
      <c r="CJ61" s="180"/>
      <c r="CK61" s="180"/>
      <c r="CL61" s="180"/>
      <c r="CM61" s="180"/>
      <c r="CN61" s="180"/>
      <c r="CO61" s="180"/>
      <c r="CP61" s="180"/>
      <c r="CQ61" s="180"/>
      <c r="CR61" s="180"/>
      <c r="CS61" s="180"/>
      <c r="CT61" s="180"/>
      <c r="CU61" s="180"/>
    </row>
    <row r="62" spans="1:99" x14ac:dyDescent="0.3">
      <c r="A62">
        <v>341</v>
      </c>
      <c r="B62" t="s">
        <v>883</v>
      </c>
      <c r="E62">
        <v>2054831</v>
      </c>
      <c r="F62">
        <v>375932</v>
      </c>
      <c r="G62">
        <v>834215</v>
      </c>
      <c r="H62">
        <v>717761</v>
      </c>
      <c r="I62">
        <v>166542</v>
      </c>
      <c r="J62">
        <v>53054</v>
      </c>
      <c r="K62">
        <v>79905</v>
      </c>
      <c r="L62">
        <v>4000902</v>
      </c>
      <c r="M62">
        <v>171620490</v>
      </c>
      <c r="N62">
        <v>2418595</v>
      </c>
      <c r="O62">
        <v>8621876</v>
      </c>
      <c r="P62">
        <v>5090</v>
      </c>
      <c r="Q62">
        <v>13788760</v>
      </c>
      <c r="R62">
        <v>92685</v>
      </c>
      <c r="S62">
        <v>335796</v>
      </c>
      <c r="T62">
        <v>1998534</v>
      </c>
      <c r="U62">
        <v>1523641</v>
      </c>
      <c r="V62">
        <v>6401947</v>
      </c>
      <c r="W62">
        <v>3018468</v>
      </c>
      <c r="X62">
        <v>790268</v>
      </c>
      <c r="Y62">
        <v>1121317</v>
      </c>
      <c r="Z62">
        <v>41286798</v>
      </c>
      <c r="AA62">
        <v>3075091</v>
      </c>
      <c r="AB62">
        <v>661765</v>
      </c>
      <c r="AC62">
        <v>45642118</v>
      </c>
      <c r="AD62">
        <v>983647</v>
      </c>
      <c r="AF62">
        <v>73472692</v>
      </c>
      <c r="AG62">
        <v>271067</v>
      </c>
      <c r="AH62">
        <v>241011</v>
      </c>
      <c r="AI62">
        <v>9135980</v>
      </c>
      <c r="AJ62">
        <v>1023553</v>
      </c>
      <c r="AK62">
        <v>113100</v>
      </c>
      <c r="AL62">
        <v>35585158</v>
      </c>
      <c r="AM62">
        <v>214621</v>
      </c>
      <c r="AN62">
        <v>14571513</v>
      </c>
      <c r="AO62">
        <v>92105</v>
      </c>
      <c r="AP62">
        <v>4934290</v>
      </c>
      <c r="AQ62">
        <v>2690767</v>
      </c>
      <c r="AR62">
        <v>75926</v>
      </c>
      <c r="AS62">
        <v>1723756</v>
      </c>
      <c r="AT62">
        <v>352378</v>
      </c>
      <c r="AU62">
        <v>354304818</v>
      </c>
      <c r="AV62">
        <v>81235543</v>
      </c>
      <c r="AW62">
        <v>1893168</v>
      </c>
      <c r="AX62">
        <v>354956</v>
      </c>
      <c r="AY62">
        <v>388517</v>
      </c>
      <c r="BA62">
        <v>462245</v>
      </c>
      <c r="BB62">
        <v>5128161</v>
      </c>
      <c r="BC62">
        <v>313876</v>
      </c>
      <c r="BD62">
        <v>108947</v>
      </c>
      <c r="BE62">
        <v>61250</v>
      </c>
      <c r="BF62">
        <v>19645119</v>
      </c>
      <c r="BG62">
        <v>28644</v>
      </c>
      <c r="BH62">
        <v>10764797</v>
      </c>
      <c r="BI62">
        <v>2553871</v>
      </c>
      <c r="BJ62">
        <v>239575</v>
      </c>
      <c r="BK62">
        <v>73104</v>
      </c>
      <c r="BL62">
        <v>13019928</v>
      </c>
      <c r="BM62">
        <v>21046422</v>
      </c>
      <c r="BN62">
        <v>1964484</v>
      </c>
      <c r="BO62">
        <v>61707360</v>
      </c>
      <c r="BP62">
        <v>127704548</v>
      </c>
      <c r="BQ62">
        <v>308322</v>
      </c>
      <c r="BR62">
        <v>5393908</v>
      </c>
      <c r="BS62">
        <v>1084466</v>
      </c>
      <c r="BT62" s="180">
        <v>14984183</v>
      </c>
      <c r="BU62" s="180">
        <v>132480</v>
      </c>
      <c r="BV62" s="180">
        <v>150857</v>
      </c>
      <c r="BW62" s="180">
        <v>8759965</v>
      </c>
      <c r="BX62" s="180">
        <v>4596352</v>
      </c>
      <c r="BY62" s="180">
        <v>53861003</v>
      </c>
      <c r="BZ62" s="180">
        <v>193326</v>
      </c>
      <c r="CA62" s="180">
        <v>16223687</v>
      </c>
      <c r="CB62" s="180">
        <v>701366</v>
      </c>
      <c r="CC62" s="180">
        <v>3213364</v>
      </c>
      <c r="CD62" s="180">
        <v>57916116</v>
      </c>
      <c r="CE62" s="180"/>
      <c r="CF62" s="180"/>
      <c r="CG62" s="180"/>
      <c r="CH62" s="180"/>
      <c r="CI62" s="180"/>
      <c r="CJ62" s="180"/>
      <c r="CK62" s="180"/>
      <c r="CL62" s="180"/>
      <c r="CM62" s="180"/>
      <c r="CN62" s="180"/>
      <c r="CO62" s="180"/>
      <c r="CP62" s="180"/>
      <c r="CQ62" s="180"/>
      <c r="CR62" s="180"/>
      <c r="CS62" s="180"/>
      <c r="CT62" s="180"/>
      <c r="CU62" s="180"/>
    </row>
    <row r="63" spans="1:99" x14ac:dyDescent="0.3">
      <c r="A63">
        <v>343</v>
      </c>
      <c r="B63" t="s">
        <v>246</v>
      </c>
      <c r="E63">
        <v>23128</v>
      </c>
      <c r="F63">
        <v>40000</v>
      </c>
      <c r="G63">
        <v>0</v>
      </c>
      <c r="H63">
        <v>0</v>
      </c>
      <c r="I63">
        <v>0</v>
      </c>
      <c r="J63">
        <v>0</v>
      </c>
      <c r="K63">
        <v>0</v>
      </c>
      <c r="L63">
        <v>458432</v>
      </c>
      <c r="M63">
        <v>11249503</v>
      </c>
      <c r="N63">
        <v>0</v>
      </c>
      <c r="O63">
        <v>541153</v>
      </c>
      <c r="P63">
        <v>0</v>
      </c>
      <c r="Q63">
        <v>253307</v>
      </c>
      <c r="R63">
        <v>0</v>
      </c>
      <c r="S63">
        <v>9494</v>
      </c>
      <c r="T63">
        <v>20757</v>
      </c>
      <c r="U63">
        <v>0</v>
      </c>
      <c r="V63">
        <v>210806</v>
      </c>
      <c r="W63">
        <v>418908</v>
      </c>
      <c r="X63">
        <v>18424</v>
      </c>
      <c r="Y63">
        <v>49224</v>
      </c>
      <c r="Z63">
        <v>2854480</v>
      </c>
      <c r="AA63">
        <v>0</v>
      </c>
      <c r="AB63">
        <v>0</v>
      </c>
      <c r="AC63">
        <v>0</v>
      </c>
      <c r="AD63">
        <v>0</v>
      </c>
      <c r="AF63">
        <v>8153631</v>
      </c>
      <c r="AG63">
        <v>0</v>
      </c>
      <c r="AH63">
        <v>0</v>
      </c>
      <c r="AI63">
        <v>376214</v>
      </c>
      <c r="AJ63">
        <v>0</v>
      </c>
      <c r="AK63">
        <v>0</v>
      </c>
      <c r="AL63">
        <v>4093752</v>
      </c>
      <c r="AM63">
        <v>0</v>
      </c>
      <c r="AN63">
        <v>0</v>
      </c>
      <c r="AO63">
        <v>0</v>
      </c>
      <c r="AP63">
        <v>15451</v>
      </c>
      <c r="AQ63">
        <v>100000</v>
      </c>
      <c r="AR63">
        <v>0</v>
      </c>
      <c r="AS63">
        <v>23851</v>
      </c>
      <c r="AT63">
        <v>9003</v>
      </c>
      <c r="AU63">
        <v>32457866</v>
      </c>
      <c r="AV63">
        <v>4911413</v>
      </c>
      <c r="AW63">
        <v>116464</v>
      </c>
      <c r="AX63">
        <v>3941</v>
      </c>
      <c r="AY63">
        <v>0</v>
      </c>
      <c r="BA63">
        <v>0</v>
      </c>
      <c r="BB63">
        <v>0</v>
      </c>
      <c r="BC63">
        <v>0</v>
      </c>
      <c r="BD63">
        <v>2223</v>
      </c>
      <c r="BE63">
        <v>21628</v>
      </c>
      <c r="BF63">
        <v>1293951</v>
      </c>
      <c r="BG63">
        <v>0</v>
      </c>
      <c r="BH63">
        <v>236032</v>
      </c>
      <c r="BI63">
        <v>97667</v>
      </c>
      <c r="BJ63">
        <v>0</v>
      </c>
      <c r="BK63">
        <v>0</v>
      </c>
      <c r="BL63">
        <v>869841</v>
      </c>
      <c r="BM63">
        <v>1791566</v>
      </c>
      <c r="BN63">
        <v>58713</v>
      </c>
      <c r="BO63">
        <v>4254011</v>
      </c>
      <c r="BP63">
        <v>13850075</v>
      </c>
      <c r="BQ63">
        <v>3242</v>
      </c>
      <c r="BR63">
        <v>745467</v>
      </c>
      <c r="BS63" s="180">
        <v>0</v>
      </c>
      <c r="BT63" s="180">
        <v>486819</v>
      </c>
      <c r="BU63" s="180">
        <v>4192</v>
      </c>
      <c r="BV63" s="180">
        <v>0</v>
      </c>
      <c r="BW63" s="180">
        <v>29594649</v>
      </c>
      <c r="BX63" s="180">
        <v>0</v>
      </c>
      <c r="BY63" s="180">
        <v>5275763</v>
      </c>
      <c r="BZ63" s="180">
        <v>0</v>
      </c>
      <c r="CA63" s="180">
        <v>893455</v>
      </c>
      <c r="CB63" s="180">
        <v>10195</v>
      </c>
      <c r="CC63" s="180">
        <v>0</v>
      </c>
      <c r="CD63" s="180">
        <v>4094097</v>
      </c>
      <c r="CE63" s="180"/>
      <c r="CF63" s="180"/>
      <c r="CG63" s="180"/>
      <c r="CH63" s="180"/>
      <c r="CI63" s="180"/>
      <c r="CJ63" s="180"/>
      <c r="CK63" s="180"/>
      <c r="CL63" s="180"/>
      <c r="CM63" s="180"/>
      <c r="CN63" s="180"/>
      <c r="CO63" s="180"/>
      <c r="CP63" s="180"/>
      <c r="CQ63" s="180"/>
      <c r="CR63" s="180"/>
      <c r="CS63" s="180"/>
      <c r="CT63" s="180"/>
      <c r="CU63" s="180"/>
    </row>
    <row r="64" spans="1:99" x14ac:dyDescent="0.3">
      <c r="A64">
        <v>344</v>
      </c>
      <c r="B64" t="s">
        <v>179</v>
      </c>
      <c r="E64">
        <v>4848</v>
      </c>
      <c r="F64">
        <v>17946</v>
      </c>
      <c r="G64">
        <v>0</v>
      </c>
      <c r="H64">
        <v>1134</v>
      </c>
      <c r="I64">
        <v>0</v>
      </c>
      <c r="J64">
        <v>0</v>
      </c>
      <c r="K64">
        <v>0</v>
      </c>
      <c r="L64">
        <v>84112</v>
      </c>
      <c r="M64">
        <v>4003876</v>
      </c>
      <c r="N64">
        <v>0</v>
      </c>
      <c r="O64">
        <v>277901</v>
      </c>
      <c r="P64">
        <v>0</v>
      </c>
      <c r="Q64">
        <v>35325</v>
      </c>
      <c r="R64">
        <v>0</v>
      </c>
      <c r="S64">
        <v>5284</v>
      </c>
      <c r="T64">
        <v>55874</v>
      </c>
      <c r="U64">
        <v>0</v>
      </c>
      <c r="V64">
        <v>17731</v>
      </c>
      <c r="W64">
        <v>6193</v>
      </c>
      <c r="X64">
        <v>4536</v>
      </c>
      <c r="Y64">
        <v>9999</v>
      </c>
      <c r="Z64">
        <v>1300833</v>
      </c>
      <c r="AA64">
        <v>0</v>
      </c>
      <c r="AB64">
        <v>0</v>
      </c>
      <c r="AC64">
        <v>770830</v>
      </c>
      <c r="AD64">
        <v>37511</v>
      </c>
      <c r="AF64">
        <v>1456634</v>
      </c>
      <c r="AG64">
        <v>0</v>
      </c>
      <c r="AH64">
        <v>0</v>
      </c>
      <c r="AI64">
        <v>64063</v>
      </c>
      <c r="AJ64">
        <v>0</v>
      </c>
      <c r="AK64">
        <v>0</v>
      </c>
      <c r="AL64">
        <v>771338</v>
      </c>
      <c r="AM64">
        <v>0</v>
      </c>
      <c r="AN64">
        <v>0</v>
      </c>
      <c r="AO64">
        <v>0</v>
      </c>
      <c r="AP64">
        <v>200</v>
      </c>
      <c r="AQ64">
        <v>9967</v>
      </c>
      <c r="AR64">
        <v>0</v>
      </c>
      <c r="AS64">
        <v>49467</v>
      </c>
      <c r="AT64">
        <v>3192</v>
      </c>
      <c r="AU64">
        <v>10197879</v>
      </c>
      <c r="AV64">
        <v>827928</v>
      </c>
      <c r="AW64">
        <v>42241</v>
      </c>
      <c r="AX64">
        <v>426</v>
      </c>
      <c r="AY64">
        <v>0</v>
      </c>
      <c r="BA64">
        <v>0</v>
      </c>
      <c r="BB64">
        <v>0</v>
      </c>
      <c r="BC64">
        <v>0</v>
      </c>
      <c r="BD64">
        <v>344</v>
      </c>
      <c r="BE64">
        <v>0</v>
      </c>
      <c r="BF64">
        <v>515903</v>
      </c>
      <c r="BG64">
        <v>0</v>
      </c>
      <c r="BH64">
        <v>133514</v>
      </c>
      <c r="BI64">
        <v>17798</v>
      </c>
      <c r="BJ64">
        <v>265</v>
      </c>
      <c r="BK64">
        <v>0</v>
      </c>
      <c r="BL64">
        <v>53240</v>
      </c>
      <c r="BM64">
        <v>883110</v>
      </c>
      <c r="BN64">
        <v>18968</v>
      </c>
      <c r="BO64">
        <v>1327364</v>
      </c>
      <c r="BP64">
        <v>3999786</v>
      </c>
      <c r="BQ64">
        <v>0</v>
      </c>
      <c r="BR64">
        <v>354210</v>
      </c>
      <c r="BS64" s="180">
        <v>0</v>
      </c>
      <c r="BT64" s="180">
        <v>78998</v>
      </c>
      <c r="BU64" s="180">
        <v>1298</v>
      </c>
      <c r="BV64" s="180">
        <v>0</v>
      </c>
      <c r="BW64" s="180">
        <v>514326</v>
      </c>
      <c r="BX64" s="180">
        <v>0</v>
      </c>
      <c r="BY64" s="180">
        <v>2603512</v>
      </c>
      <c r="BZ64" s="180">
        <v>0</v>
      </c>
      <c r="CA64" s="180">
        <v>519616</v>
      </c>
      <c r="CB64" s="180">
        <v>6589</v>
      </c>
      <c r="CC64" s="180">
        <v>5551</v>
      </c>
      <c r="CD64" s="180">
        <v>1139206</v>
      </c>
      <c r="CE64" s="180"/>
      <c r="CF64" s="180"/>
      <c r="CG64" s="180"/>
      <c r="CH64" s="180"/>
      <c r="CI64" s="180"/>
      <c r="CJ64" s="180"/>
      <c r="CK64" s="180"/>
      <c r="CL64" s="180"/>
      <c r="CM64" s="180"/>
      <c r="CN64" s="180"/>
      <c r="CO64" s="180"/>
      <c r="CP64" s="180"/>
      <c r="CQ64" s="180"/>
      <c r="CR64" s="180"/>
      <c r="CS64" s="180"/>
      <c r="CT64" s="180"/>
      <c r="CU64" s="180"/>
    </row>
    <row r="65" spans="1:99" x14ac:dyDescent="0.3">
      <c r="A65">
        <v>349</v>
      </c>
      <c r="B65" t="s">
        <v>114</v>
      </c>
      <c r="E65">
        <v>3510033</v>
      </c>
      <c r="F65">
        <v>0</v>
      </c>
      <c r="G65">
        <v>811712</v>
      </c>
      <c r="H65">
        <v>1344045</v>
      </c>
      <c r="I65">
        <v>43238</v>
      </c>
      <c r="J65">
        <v>0</v>
      </c>
      <c r="K65">
        <v>3445037</v>
      </c>
      <c r="L65">
        <v>10955065</v>
      </c>
      <c r="M65">
        <v>0</v>
      </c>
      <c r="N65">
        <v>0</v>
      </c>
      <c r="O65">
        <v>0</v>
      </c>
      <c r="P65">
        <v>19619</v>
      </c>
      <c r="Q65">
        <v>6309701</v>
      </c>
      <c r="R65">
        <v>0</v>
      </c>
      <c r="S65">
        <v>214518</v>
      </c>
      <c r="T65">
        <v>915771</v>
      </c>
      <c r="U65">
        <v>66992</v>
      </c>
      <c r="V65">
        <v>7677135</v>
      </c>
      <c r="W65">
        <v>0</v>
      </c>
      <c r="X65">
        <v>446270</v>
      </c>
      <c r="Y65">
        <v>988746</v>
      </c>
      <c r="Z65">
        <v>50817627</v>
      </c>
      <c r="AA65">
        <v>0</v>
      </c>
      <c r="AB65">
        <v>228277</v>
      </c>
      <c r="AC65">
        <v>0</v>
      </c>
      <c r="AD65">
        <v>0</v>
      </c>
      <c r="AF65">
        <v>73440629</v>
      </c>
      <c r="AG65">
        <v>0</v>
      </c>
      <c r="AH65">
        <v>36029</v>
      </c>
      <c r="AI65">
        <v>3739734</v>
      </c>
      <c r="AJ65">
        <v>0</v>
      </c>
      <c r="AK65">
        <v>985158</v>
      </c>
      <c r="AL65">
        <v>27580880</v>
      </c>
      <c r="AM65">
        <v>2939700</v>
      </c>
      <c r="AN65">
        <v>11543079</v>
      </c>
      <c r="AO65">
        <v>0</v>
      </c>
      <c r="AP65">
        <v>4296590</v>
      </c>
      <c r="AQ65">
        <v>0</v>
      </c>
      <c r="AR65">
        <v>0</v>
      </c>
      <c r="AS65">
        <v>2793946</v>
      </c>
      <c r="AT65">
        <v>39761</v>
      </c>
      <c r="AU65">
        <v>440511323</v>
      </c>
      <c r="AV65">
        <v>153973255</v>
      </c>
      <c r="AW65">
        <v>1308111</v>
      </c>
      <c r="AX65">
        <v>476461</v>
      </c>
      <c r="AY65">
        <v>315167</v>
      </c>
      <c r="BA65">
        <v>1471257</v>
      </c>
      <c r="BB65">
        <v>4051996</v>
      </c>
      <c r="BC65">
        <v>212338</v>
      </c>
      <c r="BD65">
        <v>0</v>
      </c>
      <c r="BE65">
        <v>259556</v>
      </c>
      <c r="BF65">
        <v>15247515</v>
      </c>
      <c r="BG65">
        <v>0</v>
      </c>
      <c r="BH65">
        <v>14042679</v>
      </c>
      <c r="BI65">
        <v>1703619</v>
      </c>
      <c r="BJ65">
        <v>0</v>
      </c>
      <c r="BK65">
        <v>0</v>
      </c>
      <c r="BL65">
        <v>23822125</v>
      </c>
      <c r="BM65">
        <v>68602977</v>
      </c>
      <c r="BN65">
        <v>6175369</v>
      </c>
      <c r="BO65">
        <v>35031046</v>
      </c>
      <c r="BP65">
        <v>195854820</v>
      </c>
      <c r="BQ65">
        <v>32776</v>
      </c>
      <c r="BR65">
        <v>1750430</v>
      </c>
      <c r="BS65" s="180">
        <v>0</v>
      </c>
      <c r="BT65" s="180">
        <v>30661399</v>
      </c>
      <c r="BU65" s="180">
        <v>73410</v>
      </c>
      <c r="BV65" s="180">
        <v>923</v>
      </c>
      <c r="BW65" s="180">
        <v>3396109</v>
      </c>
      <c r="BX65" s="180">
        <v>0</v>
      </c>
      <c r="BY65" s="180">
        <v>38674222</v>
      </c>
      <c r="BZ65" s="180">
        <v>902694</v>
      </c>
      <c r="CA65" s="180">
        <v>0</v>
      </c>
      <c r="CB65" s="180">
        <v>129674</v>
      </c>
      <c r="CC65" s="180">
        <v>0</v>
      </c>
      <c r="CD65" s="180">
        <v>0</v>
      </c>
      <c r="CE65" s="180"/>
      <c r="CF65" s="180"/>
      <c r="CG65" s="180"/>
      <c r="CH65" s="180"/>
      <c r="CI65" s="180"/>
      <c r="CJ65" s="180"/>
      <c r="CK65" s="180"/>
      <c r="CL65" s="180"/>
      <c r="CM65" s="180"/>
      <c r="CN65" s="180"/>
      <c r="CO65" s="180"/>
      <c r="CP65" s="180"/>
      <c r="CQ65" s="180"/>
      <c r="CR65" s="180"/>
      <c r="CS65" s="180"/>
      <c r="CT65" s="180"/>
      <c r="CU65" s="180"/>
    </row>
    <row r="66" spans="1:99" x14ac:dyDescent="0.3">
      <c r="A66">
        <v>350</v>
      </c>
      <c r="B66" t="s">
        <v>884</v>
      </c>
      <c r="E66">
        <v>0</v>
      </c>
      <c r="F66">
        <v>0</v>
      </c>
      <c r="G66">
        <v>12379</v>
      </c>
      <c r="H66">
        <v>1033</v>
      </c>
      <c r="I66">
        <v>0</v>
      </c>
      <c r="J66">
        <v>0</v>
      </c>
      <c r="K66">
        <v>120879</v>
      </c>
      <c r="L66">
        <v>61340</v>
      </c>
      <c r="M66">
        <v>0</v>
      </c>
      <c r="N66">
        <v>0</v>
      </c>
      <c r="O66">
        <v>0</v>
      </c>
      <c r="P66">
        <v>0</v>
      </c>
      <c r="Q66">
        <v>198684</v>
      </c>
      <c r="R66">
        <v>0</v>
      </c>
      <c r="S66">
        <v>2266</v>
      </c>
      <c r="T66">
        <v>8779</v>
      </c>
      <c r="U66">
        <v>23847</v>
      </c>
      <c r="V66">
        <v>160925</v>
      </c>
      <c r="W66">
        <v>0</v>
      </c>
      <c r="X66">
        <v>0</v>
      </c>
      <c r="Y66">
        <v>3476</v>
      </c>
      <c r="Z66">
        <v>2448989</v>
      </c>
      <c r="AA66">
        <v>4613</v>
      </c>
      <c r="AB66">
        <v>0</v>
      </c>
      <c r="AC66">
        <v>0</v>
      </c>
      <c r="AD66">
        <v>0</v>
      </c>
      <c r="AF66">
        <v>1085706</v>
      </c>
      <c r="AG66">
        <v>0</v>
      </c>
      <c r="AH66">
        <v>3599</v>
      </c>
      <c r="AI66">
        <v>26837</v>
      </c>
      <c r="AJ66">
        <v>4</v>
      </c>
      <c r="AK66">
        <v>865836</v>
      </c>
      <c r="AL66">
        <v>1479228</v>
      </c>
      <c r="AM66">
        <v>1478555</v>
      </c>
      <c r="AN66">
        <v>208342</v>
      </c>
      <c r="AO66">
        <v>0</v>
      </c>
      <c r="AP66">
        <v>111880</v>
      </c>
      <c r="AQ66">
        <v>0</v>
      </c>
      <c r="AR66">
        <v>0</v>
      </c>
      <c r="AS66">
        <v>11364</v>
      </c>
      <c r="AT66">
        <v>3459</v>
      </c>
      <c r="AU66">
        <v>3472574</v>
      </c>
      <c r="AV66">
        <v>2893377</v>
      </c>
      <c r="AW66">
        <v>865</v>
      </c>
      <c r="AX66">
        <v>391317</v>
      </c>
      <c r="AY66">
        <v>237167</v>
      </c>
      <c r="BA66">
        <v>132059</v>
      </c>
      <c r="BB66">
        <v>205225</v>
      </c>
      <c r="BC66">
        <v>6257</v>
      </c>
      <c r="BD66">
        <v>0</v>
      </c>
      <c r="BE66">
        <v>150017</v>
      </c>
      <c r="BF66">
        <v>512566</v>
      </c>
      <c r="BG66">
        <v>0</v>
      </c>
      <c r="BH66">
        <v>266324</v>
      </c>
      <c r="BI66">
        <v>12195</v>
      </c>
      <c r="BJ66">
        <v>0</v>
      </c>
      <c r="BK66">
        <v>0</v>
      </c>
      <c r="BL66">
        <v>1272516</v>
      </c>
      <c r="BM66">
        <v>342057</v>
      </c>
      <c r="BN66">
        <v>489610</v>
      </c>
      <c r="BO66">
        <v>808369</v>
      </c>
      <c r="BP66">
        <v>3069152</v>
      </c>
      <c r="BQ66">
        <v>0</v>
      </c>
      <c r="BR66">
        <v>31742</v>
      </c>
      <c r="BS66" s="180">
        <v>0</v>
      </c>
      <c r="BT66" s="180">
        <v>863412</v>
      </c>
      <c r="BU66" s="180">
        <v>0</v>
      </c>
      <c r="BV66" s="180">
        <v>0</v>
      </c>
      <c r="BW66" s="180">
        <v>1723021</v>
      </c>
      <c r="BX66" s="180">
        <v>0</v>
      </c>
      <c r="BY66" s="180">
        <v>6744335</v>
      </c>
      <c r="BZ66" s="180">
        <v>3587</v>
      </c>
      <c r="CA66" s="180">
        <v>0</v>
      </c>
      <c r="CB66" s="180">
        <v>171273</v>
      </c>
      <c r="CC66" s="180">
        <v>0</v>
      </c>
      <c r="CD66" s="180">
        <v>0</v>
      </c>
      <c r="CE66" s="180"/>
      <c r="CF66" s="180"/>
      <c r="CG66" s="180"/>
      <c r="CH66" s="180"/>
      <c r="CI66" s="180"/>
      <c r="CJ66" s="180"/>
      <c r="CK66" s="180"/>
      <c r="CL66" s="180"/>
      <c r="CM66" s="180"/>
      <c r="CN66" s="180"/>
      <c r="CO66" s="180"/>
      <c r="CP66" s="180"/>
      <c r="CQ66" s="180"/>
      <c r="CR66" s="180"/>
      <c r="CS66" s="180"/>
      <c r="CT66" s="180"/>
      <c r="CU66" s="180"/>
    </row>
    <row r="67" spans="1:99" x14ac:dyDescent="0.3">
      <c r="A67">
        <v>351</v>
      </c>
      <c r="B67" t="s">
        <v>223</v>
      </c>
      <c r="E67">
        <v>66489</v>
      </c>
      <c r="F67">
        <v>0</v>
      </c>
      <c r="G67">
        <v>0</v>
      </c>
      <c r="H67">
        <v>58140</v>
      </c>
      <c r="I67">
        <v>0</v>
      </c>
      <c r="J67">
        <v>0</v>
      </c>
      <c r="K67">
        <v>135408</v>
      </c>
      <c r="L67">
        <v>323313</v>
      </c>
      <c r="M67">
        <v>0</v>
      </c>
      <c r="N67">
        <v>0</v>
      </c>
      <c r="O67">
        <v>0</v>
      </c>
      <c r="P67">
        <v>0</v>
      </c>
      <c r="Q67">
        <v>18075</v>
      </c>
      <c r="R67">
        <v>0</v>
      </c>
      <c r="S67">
        <v>0</v>
      </c>
      <c r="T67">
        <v>19815</v>
      </c>
      <c r="U67">
        <v>1219</v>
      </c>
      <c r="V67">
        <v>119751</v>
      </c>
      <c r="W67">
        <v>0</v>
      </c>
      <c r="X67">
        <v>10230</v>
      </c>
      <c r="Y67">
        <v>28954</v>
      </c>
      <c r="Z67">
        <v>8098359</v>
      </c>
      <c r="AA67">
        <v>0</v>
      </c>
      <c r="AB67">
        <v>0</v>
      </c>
      <c r="AC67">
        <v>0</v>
      </c>
      <c r="AD67">
        <v>0</v>
      </c>
      <c r="AF67">
        <v>1072963</v>
      </c>
      <c r="AG67">
        <v>0</v>
      </c>
      <c r="AH67">
        <v>0</v>
      </c>
      <c r="AI67">
        <v>101441</v>
      </c>
      <c r="AJ67">
        <v>0</v>
      </c>
      <c r="AK67">
        <v>0</v>
      </c>
      <c r="AL67">
        <v>360886</v>
      </c>
      <c r="AM67">
        <v>71443</v>
      </c>
      <c r="AN67">
        <v>66464</v>
      </c>
      <c r="AO67">
        <v>0</v>
      </c>
      <c r="AP67">
        <v>47318</v>
      </c>
      <c r="AQ67">
        <v>0</v>
      </c>
      <c r="AR67">
        <v>0</v>
      </c>
      <c r="AS67">
        <v>35808</v>
      </c>
      <c r="AT67">
        <v>0</v>
      </c>
      <c r="AU67">
        <v>9208783</v>
      </c>
      <c r="AV67">
        <v>2268390</v>
      </c>
      <c r="AW67">
        <v>25345</v>
      </c>
      <c r="AX67">
        <v>399887</v>
      </c>
      <c r="AY67">
        <v>33778</v>
      </c>
      <c r="BA67">
        <v>0</v>
      </c>
      <c r="BB67">
        <v>0</v>
      </c>
      <c r="BC67">
        <v>8706</v>
      </c>
      <c r="BD67">
        <v>0</v>
      </c>
      <c r="BE67">
        <v>12803</v>
      </c>
      <c r="BF67">
        <v>241164</v>
      </c>
      <c r="BG67">
        <v>0</v>
      </c>
      <c r="BH67">
        <v>409586</v>
      </c>
      <c r="BI67">
        <v>19115</v>
      </c>
      <c r="BJ67">
        <v>0</v>
      </c>
      <c r="BK67">
        <v>0</v>
      </c>
      <c r="BL67">
        <v>106154</v>
      </c>
      <c r="BM67">
        <v>732233</v>
      </c>
      <c r="BN67">
        <v>199936</v>
      </c>
      <c r="BO67">
        <v>349724</v>
      </c>
      <c r="BP67">
        <v>6543836</v>
      </c>
      <c r="BQ67">
        <v>0</v>
      </c>
      <c r="BR67">
        <v>0</v>
      </c>
      <c r="BS67">
        <v>0</v>
      </c>
      <c r="BT67" s="180">
        <v>878907</v>
      </c>
      <c r="BU67" s="180">
        <v>0</v>
      </c>
      <c r="BV67" s="180">
        <v>0</v>
      </c>
      <c r="BW67" s="180">
        <v>1180976</v>
      </c>
      <c r="BX67" s="180">
        <v>0</v>
      </c>
      <c r="BY67" s="180">
        <v>696524</v>
      </c>
      <c r="BZ67" s="180">
        <v>15422</v>
      </c>
      <c r="CA67" s="180">
        <v>0</v>
      </c>
      <c r="CB67" s="180">
        <v>3522</v>
      </c>
      <c r="CC67" s="180">
        <v>0</v>
      </c>
      <c r="CD67" s="180">
        <v>0</v>
      </c>
      <c r="CE67" s="180"/>
      <c r="CF67" s="180"/>
      <c r="CG67" s="180"/>
      <c r="CH67" s="180"/>
      <c r="CI67" s="180"/>
      <c r="CJ67" s="180"/>
      <c r="CK67" s="180"/>
      <c r="CL67" s="180"/>
      <c r="CM67" s="180"/>
      <c r="CN67" s="180"/>
      <c r="CO67" s="180"/>
      <c r="CP67" s="180"/>
      <c r="CQ67" s="180"/>
      <c r="CR67" s="180"/>
      <c r="CS67" s="180"/>
      <c r="CT67" s="180"/>
      <c r="CU67" s="180"/>
    </row>
    <row r="68" spans="1:99" x14ac:dyDescent="0.3">
      <c r="A68">
        <v>352</v>
      </c>
      <c r="B68" t="s">
        <v>225</v>
      </c>
      <c r="E68">
        <v>0</v>
      </c>
      <c r="F68">
        <v>0</v>
      </c>
      <c r="G68">
        <v>304746</v>
      </c>
      <c r="H68">
        <v>89000</v>
      </c>
      <c r="I68">
        <v>0</v>
      </c>
      <c r="J68">
        <v>0</v>
      </c>
      <c r="K68">
        <v>15623</v>
      </c>
      <c r="L68">
        <v>0</v>
      </c>
      <c r="M68">
        <v>0</v>
      </c>
      <c r="N68">
        <v>0</v>
      </c>
      <c r="O68">
        <v>0</v>
      </c>
      <c r="P68">
        <v>0</v>
      </c>
      <c r="Q68">
        <v>0</v>
      </c>
      <c r="R68">
        <v>0</v>
      </c>
      <c r="S68">
        <v>85000</v>
      </c>
      <c r="T68">
        <v>93500</v>
      </c>
      <c r="U68">
        <v>9850</v>
      </c>
      <c r="V68">
        <v>375300</v>
      </c>
      <c r="W68">
        <v>0</v>
      </c>
      <c r="X68">
        <v>0</v>
      </c>
      <c r="Y68">
        <v>0</v>
      </c>
      <c r="Z68">
        <v>5000000</v>
      </c>
      <c r="AA68">
        <v>260552</v>
      </c>
      <c r="AB68">
        <v>0</v>
      </c>
      <c r="AC68">
        <v>0</v>
      </c>
      <c r="AD68">
        <v>0</v>
      </c>
      <c r="AF68">
        <v>0</v>
      </c>
      <c r="AG68">
        <v>0</v>
      </c>
      <c r="AH68">
        <v>9170</v>
      </c>
      <c r="AI68">
        <v>1667319</v>
      </c>
      <c r="AJ68">
        <v>0</v>
      </c>
      <c r="AK68">
        <v>0</v>
      </c>
      <c r="AL68">
        <v>0</v>
      </c>
      <c r="AM68">
        <v>0</v>
      </c>
      <c r="AN68">
        <v>113764</v>
      </c>
      <c r="AO68">
        <v>0</v>
      </c>
      <c r="AP68">
        <v>742791</v>
      </c>
      <c r="AQ68">
        <v>0</v>
      </c>
      <c r="AR68">
        <v>0</v>
      </c>
      <c r="AS68">
        <v>420645</v>
      </c>
      <c r="AT68">
        <v>0</v>
      </c>
      <c r="AU68">
        <v>3050209</v>
      </c>
      <c r="AV68">
        <v>0</v>
      </c>
      <c r="AW68">
        <v>27007</v>
      </c>
      <c r="AX68">
        <v>0</v>
      </c>
      <c r="AY68">
        <v>104290</v>
      </c>
      <c r="BA68">
        <v>0</v>
      </c>
      <c r="BB68">
        <v>0</v>
      </c>
      <c r="BC68">
        <v>94813</v>
      </c>
      <c r="BD68">
        <v>0</v>
      </c>
      <c r="BE68">
        <v>0</v>
      </c>
      <c r="BF68">
        <v>0</v>
      </c>
      <c r="BG68">
        <v>0</v>
      </c>
      <c r="BH68">
        <v>852821</v>
      </c>
      <c r="BI68">
        <v>0</v>
      </c>
      <c r="BJ68">
        <v>0</v>
      </c>
      <c r="BK68">
        <v>0</v>
      </c>
      <c r="BL68">
        <v>18651</v>
      </c>
      <c r="BM68">
        <v>425000</v>
      </c>
      <c r="BN68">
        <v>0</v>
      </c>
      <c r="BO68">
        <v>899087</v>
      </c>
      <c r="BP68">
        <v>0</v>
      </c>
      <c r="BQ68">
        <v>137135</v>
      </c>
      <c r="BR68">
        <v>15698</v>
      </c>
      <c r="BS68">
        <v>0</v>
      </c>
      <c r="BT68" s="180">
        <v>0</v>
      </c>
      <c r="BU68" s="180">
        <v>0</v>
      </c>
      <c r="BV68" s="180">
        <v>35000</v>
      </c>
      <c r="BW68" s="180">
        <v>0</v>
      </c>
      <c r="BX68" s="180">
        <v>0</v>
      </c>
      <c r="BY68" s="180">
        <v>29305525</v>
      </c>
      <c r="BZ68" s="180">
        <v>0</v>
      </c>
      <c r="CA68" s="180">
        <v>0</v>
      </c>
      <c r="CB68" s="180">
        <v>91944</v>
      </c>
      <c r="CC68" s="180">
        <v>0</v>
      </c>
      <c r="CD68" s="180">
        <v>0</v>
      </c>
      <c r="CE68" s="180"/>
      <c r="CF68" s="180"/>
      <c r="CG68" s="180"/>
      <c r="CH68" s="180"/>
      <c r="CI68" s="180"/>
      <c r="CJ68" s="180"/>
      <c r="CK68" s="180"/>
      <c r="CL68" s="180"/>
      <c r="CM68" s="180"/>
      <c r="CN68" s="180"/>
      <c r="CO68" s="180"/>
      <c r="CP68" s="180"/>
      <c r="CQ68" s="180"/>
      <c r="CR68" s="180"/>
      <c r="CS68" s="180"/>
      <c r="CT68" s="180"/>
      <c r="CU68" s="180"/>
    </row>
    <row r="69" spans="1:99" x14ac:dyDescent="0.3">
      <c r="A69">
        <v>353</v>
      </c>
      <c r="B69" t="s">
        <v>226</v>
      </c>
      <c r="E69">
        <v>0</v>
      </c>
      <c r="F69">
        <v>0</v>
      </c>
      <c r="G69">
        <v>0</v>
      </c>
      <c r="H69">
        <v>0</v>
      </c>
      <c r="I69">
        <v>1799</v>
      </c>
      <c r="J69">
        <v>0</v>
      </c>
      <c r="K69">
        <v>0</v>
      </c>
      <c r="L69">
        <v>84323</v>
      </c>
      <c r="M69">
        <v>0</v>
      </c>
      <c r="N69">
        <v>0</v>
      </c>
      <c r="O69">
        <v>0</v>
      </c>
      <c r="P69">
        <v>0</v>
      </c>
      <c r="Q69">
        <v>0</v>
      </c>
      <c r="R69">
        <v>0</v>
      </c>
      <c r="S69">
        <v>0</v>
      </c>
      <c r="T69">
        <v>0</v>
      </c>
      <c r="U69">
        <v>0</v>
      </c>
      <c r="V69">
        <v>0</v>
      </c>
      <c r="W69">
        <v>0</v>
      </c>
      <c r="X69">
        <v>0</v>
      </c>
      <c r="Y69">
        <v>39778</v>
      </c>
      <c r="Z69">
        <v>223108</v>
      </c>
      <c r="AA69">
        <v>0</v>
      </c>
      <c r="AB69">
        <v>15983</v>
      </c>
      <c r="AC69">
        <v>0</v>
      </c>
      <c r="AD69">
        <v>0</v>
      </c>
      <c r="AF69">
        <v>275500</v>
      </c>
      <c r="AG69">
        <v>0</v>
      </c>
      <c r="AH69">
        <v>0</v>
      </c>
      <c r="AI69">
        <v>0</v>
      </c>
      <c r="AJ69">
        <v>0</v>
      </c>
      <c r="AK69">
        <v>1150</v>
      </c>
      <c r="AL69">
        <v>0</v>
      </c>
      <c r="AM69">
        <v>0</v>
      </c>
      <c r="AN69">
        <v>0</v>
      </c>
      <c r="AO69">
        <v>0</v>
      </c>
      <c r="AP69">
        <v>0</v>
      </c>
      <c r="AQ69">
        <v>0</v>
      </c>
      <c r="AR69">
        <v>0</v>
      </c>
      <c r="AS69">
        <v>0</v>
      </c>
      <c r="AT69">
        <v>0</v>
      </c>
      <c r="AU69">
        <v>35000</v>
      </c>
      <c r="AV69">
        <v>0</v>
      </c>
      <c r="AW69">
        <v>0</v>
      </c>
      <c r="AX69">
        <v>0</v>
      </c>
      <c r="AY69">
        <v>0</v>
      </c>
      <c r="BA69">
        <v>0</v>
      </c>
      <c r="BB69">
        <v>0</v>
      </c>
      <c r="BC69">
        <v>0</v>
      </c>
      <c r="BD69">
        <v>0</v>
      </c>
      <c r="BE69">
        <v>0</v>
      </c>
      <c r="BF69">
        <v>0</v>
      </c>
      <c r="BG69">
        <v>0</v>
      </c>
      <c r="BH69">
        <v>0</v>
      </c>
      <c r="BI69">
        <v>0</v>
      </c>
      <c r="BJ69">
        <v>0</v>
      </c>
      <c r="BK69">
        <v>0</v>
      </c>
      <c r="BL69">
        <v>1401039</v>
      </c>
      <c r="BM69">
        <v>4016000</v>
      </c>
      <c r="BN69">
        <v>0</v>
      </c>
      <c r="BO69">
        <v>3388340</v>
      </c>
      <c r="BP69">
        <v>579000</v>
      </c>
      <c r="BQ69">
        <v>0</v>
      </c>
      <c r="BR69">
        <v>0</v>
      </c>
      <c r="BS69">
        <v>0</v>
      </c>
      <c r="BT69" s="180">
        <v>0</v>
      </c>
      <c r="BU69" s="180">
        <v>0</v>
      </c>
      <c r="BV69" s="180">
        <v>0</v>
      </c>
      <c r="BW69" s="180">
        <v>0</v>
      </c>
      <c r="BX69" s="180">
        <v>0</v>
      </c>
      <c r="BY69" s="180">
        <v>26253657</v>
      </c>
      <c r="BZ69" s="180">
        <v>0</v>
      </c>
      <c r="CA69" s="180">
        <v>0</v>
      </c>
      <c r="CB69" s="180">
        <v>0</v>
      </c>
      <c r="CC69" s="180">
        <v>0</v>
      </c>
      <c r="CD69" s="180">
        <v>0</v>
      </c>
      <c r="CE69" s="180"/>
      <c r="CF69" s="180"/>
      <c r="CG69" s="180"/>
      <c r="CH69" s="180"/>
      <c r="CI69" s="180"/>
      <c r="CJ69" s="180"/>
      <c r="CK69" s="180"/>
      <c r="CL69" s="180"/>
      <c r="CM69" s="180"/>
      <c r="CN69" s="180"/>
      <c r="CO69" s="180"/>
      <c r="CP69" s="180"/>
      <c r="CQ69" s="180"/>
      <c r="CR69" s="180"/>
      <c r="CS69" s="180"/>
      <c r="CT69" s="180"/>
      <c r="CU69" s="180"/>
    </row>
    <row r="70" spans="1:99" x14ac:dyDescent="0.3">
      <c r="A70">
        <v>356</v>
      </c>
      <c r="B70" s="551" t="s">
        <v>305</v>
      </c>
      <c r="E70">
        <v>0</v>
      </c>
      <c r="F70">
        <v>0</v>
      </c>
      <c r="G70">
        <v>0</v>
      </c>
      <c r="H70">
        <v>0</v>
      </c>
      <c r="I70">
        <v>0</v>
      </c>
      <c r="J70">
        <v>0</v>
      </c>
      <c r="K70">
        <v>0</v>
      </c>
      <c r="L70">
        <v>9323007</v>
      </c>
      <c r="M70" s="551">
        <v>0</v>
      </c>
      <c r="N70">
        <v>0</v>
      </c>
      <c r="O70">
        <v>0</v>
      </c>
      <c r="P70">
        <v>0</v>
      </c>
      <c r="Q70">
        <v>15367285</v>
      </c>
      <c r="R70">
        <v>0</v>
      </c>
      <c r="S70">
        <v>772875</v>
      </c>
      <c r="T70">
        <v>0</v>
      </c>
      <c r="U70">
        <v>0</v>
      </c>
      <c r="V70">
        <v>0</v>
      </c>
      <c r="W70">
        <v>0</v>
      </c>
      <c r="X70">
        <v>0</v>
      </c>
      <c r="Y70">
        <v>1031858</v>
      </c>
      <c r="Z70">
        <v>0</v>
      </c>
      <c r="AA70">
        <v>0</v>
      </c>
      <c r="AB70">
        <v>0</v>
      </c>
      <c r="AC70">
        <v>0</v>
      </c>
      <c r="AD70">
        <v>0</v>
      </c>
      <c r="AF70">
        <v>120338756</v>
      </c>
      <c r="AG70">
        <v>0</v>
      </c>
      <c r="AH70">
        <v>0</v>
      </c>
      <c r="AI70">
        <v>0</v>
      </c>
      <c r="AJ70">
        <v>0</v>
      </c>
      <c r="AK70">
        <v>0</v>
      </c>
      <c r="AL70">
        <v>0</v>
      </c>
      <c r="AM70">
        <v>0</v>
      </c>
      <c r="AN70">
        <v>0</v>
      </c>
      <c r="AO70">
        <v>0</v>
      </c>
      <c r="AP70">
        <v>7446088</v>
      </c>
      <c r="AQ70">
        <v>0</v>
      </c>
      <c r="AR70">
        <v>0</v>
      </c>
      <c r="AS70">
        <v>0</v>
      </c>
      <c r="AT70">
        <v>0</v>
      </c>
      <c r="AU70">
        <v>0</v>
      </c>
      <c r="AV70">
        <v>395596824</v>
      </c>
      <c r="AW70">
        <v>0</v>
      </c>
      <c r="AX70">
        <v>0</v>
      </c>
      <c r="AY70">
        <v>0</v>
      </c>
      <c r="BA70">
        <v>355673</v>
      </c>
      <c r="BB70">
        <v>0</v>
      </c>
      <c r="BC70">
        <v>0</v>
      </c>
      <c r="BD70">
        <v>0</v>
      </c>
      <c r="BE70">
        <v>0</v>
      </c>
      <c r="BF70">
        <v>0</v>
      </c>
      <c r="BG70">
        <v>0</v>
      </c>
      <c r="BH70">
        <v>0</v>
      </c>
      <c r="BI70">
        <v>0</v>
      </c>
      <c r="BJ70">
        <v>0</v>
      </c>
      <c r="BK70">
        <v>0</v>
      </c>
      <c r="BL70">
        <v>0</v>
      </c>
      <c r="BM70">
        <v>0</v>
      </c>
      <c r="BN70">
        <v>3210361</v>
      </c>
      <c r="BO70">
        <v>0</v>
      </c>
      <c r="BP70">
        <v>140244825</v>
      </c>
      <c r="BQ70">
        <v>0</v>
      </c>
      <c r="BR70">
        <v>4020844</v>
      </c>
      <c r="BS70">
        <v>0</v>
      </c>
      <c r="BT70" s="180">
        <v>0</v>
      </c>
      <c r="BU70" s="180">
        <v>466651</v>
      </c>
      <c r="BV70" s="180">
        <v>0</v>
      </c>
      <c r="BW70" s="180">
        <v>0</v>
      </c>
      <c r="BX70" s="180">
        <v>0</v>
      </c>
      <c r="BY70" s="180">
        <v>0</v>
      </c>
      <c r="BZ70" s="180">
        <v>0</v>
      </c>
      <c r="CA70" s="180">
        <v>0</v>
      </c>
      <c r="CB70" s="180">
        <v>0</v>
      </c>
      <c r="CC70" s="180">
        <v>0</v>
      </c>
      <c r="CD70" s="180">
        <v>45078788</v>
      </c>
      <c r="CE70" s="180"/>
      <c r="CF70" s="180"/>
      <c r="CG70" s="180"/>
      <c r="CH70" s="180"/>
      <c r="CI70" s="180"/>
      <c r="CJ70" s="180"/>
      <c r="CK70" s="180"/>
      <c r="CL70" s="180"/>
      <c r="CM70" s="180"/>
      <c r="CN70" s="180"/>
      <c r="CO70" s="180"/>
      <c r="CP70" s="180"/>
      <c r="CQ70" s="180"/>
      <c r="CR70" s="180"/>
      <c r="CS70" s="180"/>
      <c r="CT70" s="180"/>
      <c r="CU70" s="180"/>
    </row>
    <row r="71" spans="1:99" x14ac:dyDescent="0.3">
      <c r="A71">
        <v>357</v>
      </c>
      <c r="B71" s="551" t="s">
        <v>306</v>
      </c>
      <c r="E71">
        <v>0</v>
      </c>
      <c r="F71">
        <v>0</v>
      </c>
      <c r="G71">
        <v>0</v>
      </c>
      <c r="H71">
        <v>0</v>
      </c>
      <c r="I71">
        <v>0</v>
      </c>
      <c r="J71">
        <v>0</v>
      </c>
      <c r="K71">
        <v>0</v>
      </c>
      <c r="L71">
        <v>5814449</v>
      </c>
      <c r="M71" s="551">
        <v>0</v>
      </c>
      <c r="N71">
        <v>0</v>
      </c>
      <c r="O71">
        <v>0</v>
      </c>
      <c r="P71">
        <v>0</v>
      </c>
      <c r="Q71">
        <v>11416804</v>
      </c>
      <c r="R71">
        <v>0</v>
      </c>
      <c r="S71">
        <v>650931</v>
      </c>
      <c r="T71">
        <v>0</v>
      </c>
      <c r="U71">
        <v>0</v>
      </c>
      <c r="V71">
        <v>0</v>
      </c>
      <c r="W71">
        <v>0</v>
      </c>
      <c r="X71">
        <v>0</v>
      </c>
      <c r="Y71">
        <v>1006907</v>
      </c>
      <c r="Z71">
        <v>0</v>
      </c>
      <c r="AA71">
        <v>0</v>
      </c>
      <c r="AB71">
        <v>0</v>
      </c>
      <c r="AC71">
        <v>0</v>
      </c>
      <c r="AD71">
        <v>0</v>
      </c>
      <c r="AF71">
        <v>71349376</v>
      </c>
      <c r="AG71">
        <v>0</v>
      </c>
      <c r="AH71">
        <v>0</v>
      </c>
      <c r="AI71">
        <v>0</v>
      </c>
      <c r="AJ71">
        <v>0</v>
      </c>
      <c r="AK71">
        <v>0</v>
      </c>
      <c r="AL71">
        <v>0</v>
      </c>
      <c r="AM71">
        <v>0</v>
      </c>
      <c r="AN71">
        <v>0</v>
      </c>
      <c r="AO71">
        <v>0</v>
      </c>
      <c r="AP71">
        <v>4678924</v>
      </c>
      <c r="AQ71">
        <v>0</v>
      </c>
      <c r="AR71">
        <v>0</v>
      </c>
      <c r="AS71">
        <v>0</v>
      </c>
      <c r="AT71">
        <v>0</v>
      </c>
      <c r="AU71">
        <v>0</v>
      </c>
      <c r="AV71">
        <v>245678619</v>
      </c>
      <c r="AW71">
        <v>0</v>
      </c>
      <c r="AX71">
        <v>0</v>
      </c>
      <c r="AY71">
        <v>0</v>
      </c>
      <c r="BA71">
        <v>296489</v>
      </c>
      <c r="BB71">
        <v>0</v>
      </c>
      <c r="BC71">
        <v>0</v>
      </c>
      <c r="BD71">
        <v>0</v>
      </c>
      <c r="BE71">
        <v>0</v>
      </c>
      <c r="BF71">
        <v>0</v>
      </c>
      <c r="BG71">
        <v>0</v>
      </c>
      <c r="BH71">
        <v>0</v>
      </c>
      <c r="BI71">
        <v>0</v>
      </c>
      <c r="BJ71">
        <v>0</v>
      </c>
      <c r="BK71">
        <v>0</v>
      </c>
      <c r="BL71">
        <v>0</v>
      </c>
      <c r="BM71">
        <v>0</v>
      </c>
      <c r="BN71">
        <v>2742745</v>
      </c>
      <c r="BO71">
        <v>0</v>
      </c>
      <c r="BP71">
        <v>97039987</v>
      </c>
      <c r="BQ71">
        <v>0</v>
      </c>
      <c r="BR71">
        <v>3004463</v>
      </c>
      <c r="BS71">
        <v>0</v>
      </c>
      <c r="BT71" s="180">
        <v>0</v>
      </c>
      <c r="BU71" s="180">
        <v>433321</v>
      </c>
      <c r="BV71" s="180">
        <v>0</v>
      </c>
      <c r="BW71" s="180">
        <v>0</v>
      </c>
      <c r="BX71" s="180">
        <v>0</v>
      </c>
      <c r="BY71" s="180">
        <v>0</v>
      </c>
      <c r="BZ71" s="180">
        <v>0</v>
      </c>
      <c r="CA71" s="180">
        <v>0</v>
      </c>
      <c r="CB71" s="180">
        <v>0</v>
      </c>
      <c r="CC71" s="180">
        <v>0</v>
      </c>
      <c r="CD71" s="180">
        <v>18385529</v>
      </c>
      <c r="CE71" s="180"/>
      <c r="CF71" s="180"/>
      <c r="CG71" s="180"/>
      <c r="CH71" s="180"/>
      <c r="CI71" s="180"/>
      <c r="CJ71" s="180"/>
      <c r="CK71" s="180"/>
      <c r="CL71" s="180"/>
      <c r="CM71" s="180"/>
      <c r="CN71" s="180"/>
      <c r="CO71" s="180"/>
      <c r="CP71" s="180"/>
      <c r="CQ71" s="180"/>
      <c r="CR71" s="180"/>
      <c r="CS71" s="180"/>
      <c r="CT71" s="180"/>
      <c r="CU71" s="180"/>
    </row>
    <row r="72" spans="1:99" x14ac:dyDescent="0.3">
      <c r="A72">
        <v>359</v>
      </c>
      <c r="B72" s="551" t="s">
        <v>247</v>
      </c>
      <c r="E72">
        <v>0</v>
      </c>
      <c r="F72">
        <v>0</v>
      </c>
      <c r="G72">
        <v>0</v>
      </c>
      <c r="H72">
        <v>0</v>
      </c>
      <c r="I72">
        <v>0</v>
      </c>
      <c r="J72">
        <v>0</v>
      </c>
      <c r="K72">
        <v>0</v>
      </c>
      <c r="L72">
        <v>29826</v>
      </c>
      <c r="M72" s="551">
        <v>0</v>
      </c>
      <c r="N72">
        <v>0</v>
      </c>
      <c r="O72">
        <v>0</v>
      </c>
      <c r="P72">
        <v>0</v>
      </c>
      <c r="Q72">
        <v>0</v>
      </c>
      <c r="R72">
        <v>0</v>
      </c>
      <c r="S72">
        <v>0</v>
      </c>
      <c r="T72">
        <v>0</v>
      </c>
      <c r="U72">
        <v>0</v>
      </c>
      <c r="V72">
        <v>0</v>
      </c>
      <c r="W72">
        <v>0</v>
      </c>
      <c r="X72">
        <v>0</v>
      </c>
      <c r="Y72">
        <v>0</v>
      </c>
      <c r="Z72">
        <v>0</v>
      </c>
      <c r="AA72">
        <v>0</v>
      </c>
      <c r="AB72">
        <v>0</v>
      </c>
      <c r="AC72">
        <v>0</v>
      </c>
      <c r="AD72">
        <v>0</v>
      </c>
      <c r="AF72">
        <v>237301</v>
      </c>
      <c r="AG72">
        <v>0</v>
      </c>
      <c r="AH72">
        <v>0</v>
      </c>
      <c r="AI72">
        <v>0</v>
      </c>
      <c r="AJ72">
        <v>0</v>
      </c>
      <c r="AK72">
        <v>0</v>
      </c>
      <c r="AL72">
        <v>0</v>
      </c>
      <c r="AM72">
        <v>0</v>
      </c>
      <c r="AN72">
        <v>0</v>
      </c>
      <c r="AO72">
        <v>0</v>
      </c>
      <c r="AP72">
        <v>0</v>
      </c>
      <c r="AQ72">
        <v>0</v>
      </c>
      <c r="AR72">
        <v>0</v>
      </c>
      <c r="AS72">
        <v>0</v>
      </c>
      <c r="AT72">
        <v>0</v>
      </c>
      <c r="AU72">
        <v>0</v>
      </c>
      <c r="AV72">
        <v>77614685</v>
      </c>
      <c r="AW72">
        <v>0</v>
      </c>
      <c r="AX72">
        <v>0</v>
      </c>
      <c r="AY72">
        <v>0</v>
      </c>
      <c r="BA72">
        <v>0</v>
      </c>
      <c r="BB72">
        <v>0</v>
      </c>
      <c r="BC72">
        <v>0</v>
      </c>
      <c r="BD72">
        <v>0</v>
      </c>
      <c r="BE72">
        <v>0</v>
      </c>
      <c r="BF72">
        <v>0</v>
      </c>
      <c r="BG72">
        <v>0</v>
      </c>
      <c r="BH72">
        <v>0</v>
      </c>
      <c r="BI72">
        <v>0</v>
      </c>
      <c r="BJ72">
        <v>0</v>
      </c>
      <c r="BK72">
        <v>0</v>
      </c>
      <c r="BL72">
        <v>0</v>
      </c>
      <c r="BM72">
        <v>0</v>
      </c>
      <c r="BN72">
        <v>163642</v>
      </c>
      <c r="BO72">
        <v>0</v>
      </c>
      <c r="BP72">
        <v>302265</v>
      </c>
      <c r="BQ72">
        <v>0</v>
      </c>
      <c r="BR72">
        <v>0</v>
      </c>
      <c r="BS72">
        <v>0</v>
      </c>
      <c r="BT72" s="180">
        <v>0</v>
      </c>
      <c r="BU72" s="180">
        <v>0</v>
      </c>
      <c r="BV72" s="180">
        <v>0</v>
      </c>
      <c r="BW72" s="180">
        <v>0</v>
      </c>
      <c r="BX72" s="180">
        <v>0</v>
      </c>
      <c r="BY72" s="180">
        <v>0</v>
      </c>
      <c r="BZ72" s="180">
        <v>16121</v>
      </c>
      <c r="CA72" s="180">
        <v>0</v>
      </c>
      <c r="CB72" s="180">
        <v>0</v>
      </c>
      <c r="CC72" s="180">
        <v>0</v>
      </c>
      <c r="CD72" s="180">
        <v>4017</v>
      </c>
      <c r="CE72" s="180"/>
      <c r="CF72" s="180"/>
      <c r="CG72" s="180"/>
      <c r="CH72" s="180"/>
      <c r="CI72" s="180"/>
      <c r="CJ72" s="180"/>
      <c r="CK72" s="180"/>
      <c r="CL72" s="180"/>
      <c r="CM72" s="180"/>
      <c r="CN72" s="180"/>
      <c r="CO72" s="180"/>
      <c r="CP72" s="180"/>
      <c r="CQ72" s="180"/>
      <c r="CR72" s="180"/>
      <c r="CS72" s="180"/>
      <c r="CT72" s="180"/>
      <c r="CU72" s="180"/>
    </row>
    <row r="73" spans="1:99" x14ac:dyDescent="0.3">
      <c r="A73">
        <v>360</v>
      </c>
      <c r="B73" s="551" t="s">
        <v>117</v>
      </c>
      <c r="E73">
        <v>0</v>
      </c>
      <c r="F73">
        <v>0</v>
      </c>
      <c r="G73">
        <v>0</v>
      </c>
      <c r="H73">
        <v>0</v>
      </c>
      <c r="I73">
        <v>0</v>
      </c>
      <c r="J73">
        <v>0</v>
      </c>
      <c r="K73">
        <v>0</v>
      </c>
      <c r="L73">
        <v>1201818</v>
      </c>
      <c r="M73" s="551">
        <v>0</v>
      </c>
      <c r="N73">
        <v>0</v>
      </c>
      <c r="O73">
        <v>0</v>
      </c>
      <c r="P73">
        <v>0</v>
      </c>
      <c r="Q73">
        <v>2329784</v>
      </c>
      <c r="R73">
        <v>0</v>
      </c>
      <c r="S73">
        <v>77959</v>
      </c>
      <c r="T73">
        <v>0</v>
      </c>
      <c r="U73">
        <v>0</v>
      </c>
      <c r="V73">
        <v>0</v>
      </c>
      <c r="W73">
        <v>0</v>
      </c>
      <c r="X73">
        <v>0</v>
      </c>
      <c r="Y73">
        <v>628298</v>
      </c>
      <c r="Z73">
        <v>0</v>
      </c>
      <c r="AA73">
        <v>0</v>
      </c>
      <c r="AB73">
        <v>0</v>
      </c>
      <c r="AC73">
        <v>0</v>
      </c>
      <c r="AD73">
        <v>0</v>
      </c>
      <c r="AF73">
        <v>15531816</v>
      </c>
      <c r="AG73">
        <v>0</v>
      </c>
      <c r="AH73">
        <v>0</v>
      </c>
      <c r="AI73">
        <v>0</v>
      </c>
      <c r="AJ73">
        <v>0</v>
      </c>
      <c r="AK73">
        <v>0</v>
      </c>
      <c r="AL73">
        <v>0</v>
      </c>
      <c r="AM73">
        <v>0</v>
      </c>
      <c r="AN73">
        <v>0</v>
      </c>
      <c r="AO73">
        <v>0</v>
      </c>
      <c r="AP73">
        <v>1162957</v>
      </c>
      <c r="AQ73">
        <v>0</v>
      </c>
      <c r="AR73">
        <v>0</v>
      </c>
      <c r="AS73">
        <v>0</v>
      </c>
      <c r="AT73">
        <v>0</v>
      </c>
      <c r="AU73">
        <v>0</v>
      </c>
      <c r="AV73">
        <v>130623876</v>
      </c>
      <c r="AW73">
        <v>0</v>
      </c>
      <c r="AX73">
        <v>0</v>
      </c>
      <c r="AY73">
        <v>0</v>
      </c>
      <c r="BA73">
        <v>53612</v>
      </c>
      <c r="BB73">
        <v>0</v>
      </c>
      <c r="BC73">
        <v>0</v>
      </c>
      <c r="BD73">
        <v>0</v>
      </c>
      <c r="BE73">
        <v>0</v>
      </c>
      <c r="BF73">
        <v>0</v>
      </c>
      <c r="BG73">
        <v>0</v>
      </c>
      <c r="BH73">
        <v>0</v>
      </c>
      <c r="BI73">
        <v>0</v>
      </c>
      <c r="BJ73">
        <v>0</v>
      </c>
      <c r="BK73">
        <v>0</v>
      </c>
      <c r="BL73">
        <v>0</v>
      </c>
      <c r="BM73">
        <v>0</v>
      </c>
      <c r="BN73">
        <v>676596</v>
      </c>
      <c r="BO73">
        <v>0</v>
      </c>
      <c r="BP73">
        <v>19215672</v>
      </c>
      <c r="BQ73">
        <v>0</v>
      </c>
      <c r="BR73">
        <v>970293</v>
      </c>
      <c r="BS73" s="180">
        <v>0</v>
      </c>
      <c r="BT73" s="180">
        <v>0</v>
      </c>
      <c r="BU73" s="180">
        <v>158781</v>
      </c>
      <c r="BV73" s="180">
        <v>0</v>
      </c>
      <c r="BW73" s="180">
        <v>0</v>
      </c>
      <c r="BX73" s="180">
        <v>0</v>
      </c>
      <c r="BY73" s="180">
        <v>0</v>
      </c>
      <c r="BZ73" s="180">
        <v>188463</v>
      </c>
      <c r="CA73" s="180">
        <v>0</v>
      </c>
      <c r="CB73" s="180">
        <v>0</v>
      </c>
      <c r="CC73" s="180">
        <v>0</v>
      </c>
      <c r="CD73" s="180">
        <v>2997913</v>
      </c>
      <c r="CE73" s="180"/>
      <c r="CF73" s="180"/>
      <c r="CG73" s="180"/>
      <c r="CH73" s="180"/>
      <c r="CI73" s="180"/>
      <c r="CJ73" s="180"/>
      <c r="CK73" s="180"/>
      <c r="CL73" s="180"/>
      <c r="CM73" s="180"/>
      <c r="CN73" s="180"/>
      <c r="CO73" s="180"/>
      <c r="CP73" s="180"/>
      <c r="CQ73" s="180"/>
      <c r="CR73" s="180"/>
      <c r="CS73" s="180"/>
      <c r="CT73" s="180"/>
      <c r="CU73" s="180"/>
    </row>
    <row r="74" spans="1:99" x14ac:dyDescent="0.3">
      <c r="A74">
        <v>361</v>
      </c>
      <c r="B74" s="551" t="s">
        <v>98</v>
      </c>
      <c r="E74">
        <v>0</v>
      </c>
      <c r="F74">
        <v>0</v>
      </c>
      <c r="G74">
        <v>0</v>
      </c>
      <c r="H74">
        <v>0</v>
      </c>
      <c r="I74">
        <v>0</v>
      </c>
      <c r="J74">
        <v>0</v>
      </c>
      <c r="K74">
        <v>0</v>
      </c>
      <c r="L74">
        <v>1238612</v>
      </c>
      <c r="M74" s="551">
        <v>0</v>
      </c>
      <c r="N74">
        <v>0</v>
      </c>
      <c r="O74">
        <v>0</v>
      </c>
      <c r="P74">
        <v>0</v>
      </c>
      <c r="Q74">
        <v>3011741</v>
      </c>
      <c r="R74">
        <v>0</v>
      </c>
      <c r="S74">
        <v>1026151</v>
      </c>
      <c r="T74">
        <v>0</v>
      </c>
      <c r="U74">
        <v>0</v>
      </c>
      <c r="V74">
        <v>0</v>
      </c>
      <c r="W74">
        <v>0</v>
      </c>
      <c r="X74">
        <v>0</v>
      </c>
      <c r="Y74">
        <v>250634</v>
      </c>
      <c r="Z74">
        <v>0</v>
      </c>
      <c r="AA74">
        <v>0</v>
      </c>
      <c r="AB74">
        <v>0</v>
      </c>
      <c r="AC74">
        <v>0</v>
      </c>
      <c r="AD74">
        <v>0</v>
      </c>
      <c r="AF74">
        <v>51559530</v>
      </c>
      <c r="AG74">
        <v>0</v>
      </c>
      <c r="AH74">
        <v>0</v>
      </c>
      <c r="AI74">
        <v>0</v>
      </c>
      <c r="AJ74">
        <v>0</v>
      </c>
      <c r="AK74">
        <v>0</v>
      </c>
      <c r="AL74">
        <v>0</v>
      </c>
      <c r="AM74">
        <v>0</v>
      </c>
      <c r="AN74">
        <v>0</v>
      </c>
      <c r="AO74">
        <v>0</v>
      </c>
      <c r="AP74">
        <v>8113472</v>
      </c>
      <c r="AQ74">
        <v>0</v>
      </c>
      <c r="AR74">
        <v>0</v>
      </c>
      <c r="AS74">
        <v>0</v>
      </c>
      <c r="AT74">
        <v>0</v>
      </c>
      <c r="AU74">
        <v>0</v>
      </c>
      <c r="AV74">
        <v>59039897</v>
      </c>
      <c r="AW74">
        <v>0</v>
      </c>
      <c r="AX74">
        <v>0</v>
      </c>
      <c r="AY74">
        <v>0</v>
      </c>
      <c r="BA74">
        <v>633250</v>
      </c>
      <c r="BB74">
        <v>0</v>
      </c>
      <c r="BC74">
        <v>0</v>
      </c>
      <c r="BD74">
        <v>0</v>
      </c>
      <c r="BE74">
        <v>0</v>
      </c>
      <c r="BF74">
        <v>0</v>
      </c>
      <c r="BG74">
        <v>0</v>
      </c>
      <c r="BH74">
        <v>0</v>
      </c>
      <c r="BI74">
        <v>0</v>
      </c>
      <c r="BJ74">
        <v>0</v>
      </c>
      <c r="BK74">
        <v>0</v>
      </c>
      <c r="BL74">
        <v>0</v>
      </c>
      <c r="BM74">
        <v>0</v>
      </c>
      <c r="BN74">
        <v>1260060</v>
      </c>
      <c r="BO74">
        <v>0</v>
      </c>
      <c r="BP74">
        <v>83741060</v>
      </c>
      <c r="BQ74">
        <v>0</v>
      </c>
      <c r="BR74">
        <v>9802440</v>
      </c>
      <c r="BS74" s="180">
        <v>0</v>
      </c>
      <c r="BT74" s="180">
        <v>0</v>
      </c>
      <c r="BU74" s="180">
        <v>345340</v>
      </c>
      <c r="BV74" s="180">
        <v>0</v>
      </c>
      <c r="BW74" s="180">
        <v>0</v>
      </c>
      <c r="BX74" s="180">
        <v>0</v>
      </c>
      <c r="BY74" s="180">
        <v>0</v>
      </c>
      <c r="BZ74" s="180">
        <v>375293</v>
      </c>
      <c r="CA74" s="180">
        <v>0</v>
      </c>
      <c r="CB74" s="180">
        <v>0</v>
      </c>
      <c r="CC74" s="180">
        <v>0</v>
      </c>
      <c r="CD74" s="180">
        <v>9185307</v>
      </c>
      <c r="CE74" s="180"/>
      <c r="CF74" s="180"/>
      <c r="CG74" s="180"/>
      <c r="CH74" s="180"/>
      <c r="CI74" s="180"/>
      <c r="CJ74" s="180"/>
      <c r="CK74" s="180"/>
      <c r="CL74" s="180"/>
      <c r="CM74" s="180"/>
      <c r="CN74" s="180"/>
      <c r="CO74" s="180"/>
      <c r="CP74" s="180"/>
      <c r="CQ74" s="180"/>
      <c r="CR74" s="180"/>
      <c r="CS74" s="180"/>
      <c r="CT74" s="180"/>
      <c r="CU74" s="180"/>
    </row>
    <row r="75" spans="1:99" x14ac:dyDescent="0.3">
      <c r="A75">
        <v>362</v>
      </c>
      <c r="B75" s="551" t="s">
        <v>99</v>
      </c>
      <c r="E75">
        <v>0</v>
      </c>
      <c r="F75">
        <v>0</v>
      </c>
      <c r="G75">
        <v>0</v>
      </c>
      <c r="H75">
        <v>0</v>
      </c>
      <c r="I75">
        <v>0</v>
      </c>
      <c r="J75">
        <v>0</v>
      </c>
      <c r="K75">
        <v>0</v>
      </c>
      <c r="L75">
        <v>4824285</v>
      </c>
      <c r="M75" s="551">
        <v>0</v>
      </c>
      <c r="N75">
        <v>0</v>
      </c>
      <c r="O75">
        <v>0</v>
      </c>
      <c r="P75">
        <v>0</v>
      </c>
      <c r="Q75">
        <v>7077937</v>
      </c>
      <c r="R75">
        <v>0</v>
      </c>
      <c r="S75">
        <v>1148095</v>
      </c>
      <c r="T75">
        <v>0</v>
      </c>
      <c r="U75">
        <v>0</v>
      </c>
      <c r="V75">
        <v>0</v>
      </c>
      <c r="W75">
        <v>0</v>
      </c>
      <c r="X75">
        <v>0</v>
      </c>
      <c r="Y75">
        <v>412853</v>
      </c>
      <c r="Z75">
        <v>0</v>
      </c>
      <c r="AA75">
        <v>0</v>
      </c>
      <c r="AB75">
        <v>0</v>
      </c>
      <c r="AC75">
        <v>0</v>
      </c>
      <c r="AD75">
        <v>0</v>
      </c>
      <c r="AF75">
        <v>117563948</v>
      </c>
      <c r="AG75">
        <v>0</v>
      </c>
      <c r="AH75">
        <v>0</v>
      </c>
      <c r="AI75">
        <v>0</v>
      </c>
      <c r="AJ75">
        <v>0</v>
      </c>
      <c r="AK75">
        <v>0</v>
      </c>
      <c r="AL75">
        <v>0</v>
      </c>
      <c r="AM75">
        <v>0</v>
      </c>
      <c r="AN75">
        <v>0</v>
      </c>
      <c r="AO75">
        <v>0</v>
      </c>
      <c r="AP75">
        <v>10927202</v>
      </c>
      <c r="AQ75">
        <v>0</v>
      </c>
      <c r="AR75">
        <v>0</v>
      </c>
      <c r="AS75">
        <v>0</v>
      </c>
      <c r="AT75">
        <v>0</v>
      </c>
      <c r="AU75">
        <v>0</v>
      </c>
      <c r="AV75">
        <v>156847072</v>
      </c>
      <c r="AW75">
        <v>0</v>
      </c>
      <c r="AX75">
        <v>0</v>
      </c>
      <c r="AY75">
        <v>0</v>
      </c>
      <c r="BA75">
        <v>692434</v>
      </c>
      <c r="BB75">
        <v>0</v>
      </c>
      <c r="BC75">
        <v>0</v>
      </c>
      <c r="BD75">
        <v>0</v>
      </c>
      <c r="BE75">
        <v>0</v>
      </c>
      <c r="BF75">
        <v>0</v>
      </c>
      <c r="BG75">
        <v>0</v>
      </c>
      <c r="BH75">
        <v>0</v>
      </c>
      <c r="BI75">
        <v>0</v>
      </c>
      <c r="BJ75">
        <v>0</v>
      </c>
      <c r="BK75">
        <v>0</v>
      </c>
      <c r="BL75">
        <v>0</v>
      </c>
      <c r="BM75">
        <v>0</v>
      </c>
      <c r="BN75">
        <v>1564034</v>
      </c>
      <c r="BO75">
        <v>0</v>
      </c>
      <c r="BP75">
        <v>184701401</v>
      </c>
      <c r="BQ75">
        <v>0</v>
      </c>
      <c r="BR75">
        <v>10818821</v>
      </c>
      <c r="BS75" s="180">
        <v>0</v>
      </c>
      <c r="BT75" s="180">
        <v>0</v>
      </c>
      <c r="BU75" s="180">
        <v>378670</v>
      </c>
      <c r="BV75" s="180">
        <v>0</v>
      </c>
      <c r="BW75" s="180">
        <v>0</v>
      </c>
      <c r="BX75" s="180">
        <v>0</v>
      </c>
      <c r="BY75" s="180">
        <v>0</v>
      </c>
      <c r="BZ75" s="180">
        <v>782747</v>
      </c>
      <c r="CA75" s="180">
        <v>0</v>
      </c>
      <c r="CB75" s="180">
        <v>0</v>
      </c>
      <c r="CC75" s="180">
        <v>0</v>
      </c>
      <c r="CD75" s="180">
        <v>36292325</v>
      </c>
      <c r="CE75" s="180"/>
      <c r="CF75" s="180"/>
      <c r="CG75" s="180"/>
      <c r="CH75" s="180"/>
      <c r="CI75" s="180"/>
      <c r="CJ75" s="180"/>
      <c r="CK75" s="180"/>
      <c r="CL75" s="180"/>
      <c r="CM75" s="180"/>
      <c r="CN75" s="180"/>
      <c r="CO75" s="180"/>
      <c r="CP75" s="180"/>
      <c r="CQ75" s="180"/>
      <c r="CR75" s="180"/>
      <c r="CS75" s="180"/>
      <c r="CT75" s="180"/>
      <c r="CU75" s="180"/>
    </row>
    <row r="76" spans="1:99" x14ac:dyDescent="0.3">
      <c r="A76">
        <v>363</v>
      </c>
      <c r="B76" s="551" t="s">
        <v>233</v>
      </c>
      <c r="E76">
        <v>0</v>
      </c>
      <c r="F76">
        <v>0</v>
      </c>
      <c r="G76">
        <v>0</v>
      </c>
      <c r="H76">
        <v>0</v>
      </c>
      <c r="I76">
        <v>0</v>
      </c>
      <c r="J76">
        <v>0</v>
      </c>
      <c r="K76">
        <v>0</v>
      </c>
      <c r="L76">
        <v>36146</v>
      </c>
      <c r="M76" s="551">
        <v>0</v>
      </c>
      <c r="N76">
        <v>0</v>
      </c>
      <c r="O76">
        <v>0</v>
      </c>
      <c r="P76">
        <v>0</v>
      </c>
      <c r="Q76">
        <v>67898</v>
      </c>
      <c r="R76">
        <v>0</v>
      </c>
      <c r="S76">
        <v>981</v>
      </c>
      <c r="T76">
        <v>0</v>
      </c>
      <c r="U76">
        <v>0</v>
      </c>
      <c r="V76">
        <v>0</v>
      </c>
      <c r="W76">
        <v>0</v>
      </c>
      <c r="X76">
        <v>0</v>
      </c>
      <c r="Y76">
        <v>4273</v>
      </c>
      <c r="Z76">
        <v>0</v>
      </c>
      <c r="AA76">
        <v>0</v>
      </c>
      <c r="AB76">
        <v>0</v>
      </c>
      <c r="AC76">
        <v>0</v>
      </c>
      <c r="AD76">
        <v>0</v>
      </c>
      <c r="AF76">
        <v>1403318</v>
      </c>
      <c r="AG76">
        <v>0</v>
      </c>
      <c r="AH76">
        <v>0</v>
      </c>
      <c r="AI76">
        <v>0</v>
      </c>
      <c r="AJ76">
        <v>0</v>
      </c>
      <c r="AK76">
        <v>0</v>
      </c>
      <c r="AL76">
        <v>0</v>
      </c>
      <c r="AM76">
        <v>0</v>
      </c>
      <c r="AN76">
        <v>0</v>
      </c>
      <c r="AO76">
        <v>0</v>
      </c>
      <c r="AP76">
        <v>197002</v>
      </c>
      <c r="AQ76">
        <v>0</v>
      </c>
      <c r="AR76">
        <v>0</v>
      </c>
      <c r="AS76">
        <v>0</v>
      </c>
      <c r="AT76">
        <v>0</v>
      </c>
      <c r="AU76">
        <v>0</v>
      </c>
      <c r="AV76">
        <v>4104249</v>
      </c>
      <c r="AW76">
        <v>0</v>
      </c>
      <c r="AX76">
        <v>0</v>
      </c>
      <c r="AY76">
        <v>0</v>
      </c>
      <c r="BA76">
        <v>2671</v>
      </c>
      <c r="BB76">
        <v>0</v>
      </c>
      <c r="BC76">
        <v>0</v>
      </c>
      <c r="BD76">
        <v>0</v>
      </c>
      <c r="BE76">
        <v>0</v>
      </c>
      <c r="BF76">
        <v>0</v>
      </c>
      <c r="BG76">
        <v>0</v>
      </c>
      <c r="BH76">
        <v>0</v>
      </c>
      <c r="BI76">
        <v>0</v>
      </c>
      <c r="BJ76">
        <v>0</v>
      </c>
      <c r="BK76">
        <v>0</v>
      </c>
      <c r="BL76">
        <v>0</v>
      </c>
      <c r="BM76">
        <v>0</v>
      </c>
      <c r="BN76">
        <v>24317</v>
      </c>
      <c r="BO76">
        <v>0</v>
      </c>
      <c r="BP76">
        <v>2423933</v>
      </c>
      <c r="BQ76">
        <v>0</v>
      </c>
      <c r="BR76">
        <v>246694</v>
      </c>
      <c r="BS76" s="180">
        <v>0</v>
      </c>
      <c r="BT76" s="180">
        <v>0</v>
      </c>
      <c r="BU76" s="180">
        <v>0</v>
      </c>
      <c r="BV76" s="180">
        <v>0</v>
      </c>
      <c r="BW76" s="180">
        <v>0</v>
      </c>
      <c r="BX76" s="180">
        <v>0</v>
      </c>
      <c r="BY76" s="180">
        <v>0</v>
      </c>
      <c r="BZ76" s="180">
        <v>9440</v>
      </c>
      <c r="CA76" s="180">
        <v>0</v>
      </c>
      <c r="CB76" s="180">
        <v>0</v>
      </c>
      <c r="CC76" s="180">
        <v>0</v>
      </c>
      <c r="CD76" s="180">
        <v>180148</v>
      </c>
      <c r="CE76" s="180"/>
      <c r="CF76" s="180"/>
      <c r="CG76" s="180"/>
      <c r="CH76" s="180"/>
      <c r="CI76" s="180"/>
      <c r="CJ76" s="180"/>
      <c r="CK76" s="180"/>
      <c r="CL76" s="180"/>
      <c r="CM76" s="180"/>
      <c r="CN76" s="180"/>
      <c r="CO76" s="180"/>
      <c r="CP76" s="180"/>
      <c r="CQ76" s="180"/>
      <c r="CR76" s="180"/>
      <c r="CS76" s="180"/>
      <c r="CT76" s="180"/>
      <c r="CU76" s="180"/>
    </row>
    <row r="77" spans="1:99" x14ac:dyDescent="0.3">
      <c r="A77">
        <v>364</v>
      </c>
      <c r="B77" s="551" t="s">
        <v>234</v>
      </c>
      <c r="E77">
        <v>0</v>
      </c>
      <c r="F77">
        <v>0</v>
      </c>
      <c r="G77">
        <v>0</v>
      </c>
      <c r="H77">
        <v>0</v>
      </c>
      <c r="I77">
        <v>0</v>
      </c>
      <c r="J77">
        <v>0</v>
      </c>
      <c r="K77">
        <v>0</v>
      </c>
      <c r="L77">
        <v>1100</v>
      </c>
      <c r="M77" s="551">
        <v>0</v>
      </c>
      <c r="N77">
        <v>0</v>
      </c>
      <c r="O77">
        <v>0</v>
      </c>
      <c r="P77">
        <v>0</v>
      </c>
      <c r="Q77">
        <v>5178</v>
      </c>
      <c r="R77">
        <v>0</v>
      </c>
      <c r="S77">
        <v>0</v>
      </c>
      <c r="T77">
        <v>0</v>
      </c>
      <c r="U77">
        <v>0</v>
      </c>
      <c r="V77">
        <v>0</v>
      </c>
      <c r="W77">
        <v>0</v>
      </c>
      <c r="X77">
        <v>0</v>
      </c>
      <c r="Y77">
        <v>0</v>
      </c>
      <c r="Z77">
        <v>0</v>
      </c>
      <c r="AA77">
        <v>0</v>
      </c>
      <c r="AB77">
        <v>0</v>
      </c>
      <c r="AC77">
        <v>0</v>
      </c>
      <c r="AD77">
        <v>0</v>
      </c>
      <c r="AF77">
        <v>525743</v>
      </c>
      <c r="AG77">
        <v>0</v>
      </c>
      <c r="AH77">
        <v>0</v>
      </c>
      <c r="AI77">
        <v>0</v>
      </c>
      <c r="AJ77">
        <v>0</v>
      </c>
      <c r="AK77">
        <v>0</v>
      </c>
      <c r="AL77">
        <v>0</v>
      </c>
      <c r="AM77">
        <v>0</v>
      </c>
      <c r="AN77">
        <v>0</v>
      </c>
      <c r="AO77">
        <v>0</v>
      </c>
      <c r="AP77">
        <v>20</v>
      </c>
      <c r="AQ77">
        <v>0</v>
      </c>
      <c r="AR77">
        <v>0</v>
      </c>
      <c r="AS77">
        <v>0</v>
      </c>
      <c r="AT77">
        <v>0</v>
      </c>
      <c r="AU77">
        <v>0</v>
      </c>
      <c r="AV77">
        <v>2640162</v>
      </c>
      <c r="AW77">
        <v>0</v>
      </c>
      <c r="AX77">
        <v>0</v>
      </c>
      <c r="AY77">
        <v>0</v>
      </c>
      <c r="BA77">
        <v>0</v>
      </c>
      <c r="BB77">
        <v>0</v>
      </c>
      <c r="BC77">
        <v>0</v>
      </c>
      <c r="BD77">
        <v>0</v>
      </c>
      <c r="BE77">
        <v>0</v>
      </c>
      <c r="BF77">
        <v>0</v>
      </c>
      <c r="BG77">
        <v>0</v>
      </c>
      <c r="BH77">
        <v>0</v>
      </c>
      <c r="BI77">
        <v>0</v>
      </c>
      <c r="BJ77">
        <v>0</v>
      </c>
      <c r="BK77">
        <v>0</v>
      </c>
      <c r="BL77">
        <v>0</v>
      </c>
      <c r="BM77">
        <v>0</v>
      </c>
      <c r="BN77">
        <v>7063</v>
      </c>
      <c r="BO77">
        <v>0</v>
      </c>
      <c r="BP77">
        <v>240</v>
      </c>
      <c r="BQ77">
        <v>0</v>
      </c>
      <c r="BR77">
        <v>0</v>
      </c>
      <c r="BS77" s="180">
        <v>0</v>
      </c>
      <c r="BT77" s="180">
        <v>0</v>
      </c>
      <c r="BU77" s="180">
        <v>0</v>
      </c>
      <c r="BV77" s="180">
        <v>0</v>
      </c>
      <c r="BW77" s="180">
        <v>0</v>
      </c>
      <c r="BX77" s="180">
        <v>0</v>
      </c>
      <c r="BY77" s="180">
        <v>0</v>
      </c>
      <c r="BZ77" s="180">
        <v>692</v>
      </c>
      <c r="CA77" s="180">
        <v>0</v>
      </c>
      <c r="CB77" s="180">
        <v>0</v>
      </c>
      <c r="CC77" s="180">
        <v>0</v>
      </c>
      <c r="CD77" s="180">
        <v>419</v>
      </c>
      <c r="CE77" s="180"/>
      <c r="CF77" s="180"/>
      <c r="CG77" s="180"/>
      <c r="CH77" s="180"/>
      <c r="CI77" s="180"/>
      <c r="CJ77" s="180"/>
      <c r="CK77" s="180"/>
      <c r="CL77" s="180"/>
      <c r="CM77" s="180"/>
      <c r="CN77" s="180"/>
      <c r="CO77" s="180"/>
      <c r="CP77" s="180"/>
      <c r="CQ77" s="180"/>
      <c r="CR77" s="180"/>
      <c r="CS77" s="180"/>
      <c r="CT77" s="180"/>
      <c r="CU77" s="180"/>
    </row>
    <row r="78" spans="1:99" x14ac:dyDescent="0.3">
      <c r="A78">
        <v>365</v>
      </c>
      <c r="B78" s="551" t="s">
        <v>236</v>
      </c>
      <c r="E78">
        <v>0</v>
      </c>
      <c r="F78">
        <v>0</v>
      </c>
      <c r="G78">
        <v>0</v>
      </c>
      <c r="H78">
        <v>0</v>
      </c>
      <c r="I78">
        <v>0</v>
      </c>
      <c r="J78">
        <v>0</v>
      </c>
      <c r="K78">
        <v>0</v>
      </c>
      <c r="L78">
        <v>0</v>
      </c>
      <c r="M78" s="551">
        <v>0</v>
      </c>
      <c r="N78">
        <v>0</v>
      </c>
      <c r="O78">
        <v>0</v>
      </c>
      <c r="P78">
        <v>0</v>
      </c>
      <c r="Q78">
        <v>0</v>
      </c>
      <c r="R78">
        <v>0</v>
      </c>
      <c r="S78">
        <v>0</v>
      </c>
      <c r="T78">
        <v>0</v>
      </c>
      <c r="U78">
        <v>0</v>
      </c>
      <c r="V78">
        <v>0</v>
      </c>
      <c r="W78">
        <v>0</v>
      </c>
      <c r="X78">
        <v>0</v>
      </c>
      <c r="Y78">
        <v>73001</v>
      </c>
      <c r="Z78">
        <v>0</v>
      </c>
      <c r="AA78">
        <v>0</v>
      </c>
      <c r="AB78">
        <v>0</v>
      </c>
      <c r="AC78">
        <v>0</v>
      </c>
      <c r="AD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BA78">
        <v>0</v>
      </c>
      <c r="BB78">
        <v>0</v>
      </c>
      <c r="BC78">
        <v>0</v>
      </c>
      <c r="BD78">
        <v>0</v>
      </c>
      <c r="BE78">
        <v>0</v>
      </c>
      <c r="BF78">
        <v>0</v>
      </c>
      <c r="BG78">
        <v>0</v>
      </c>
      <c r="BH78">
        <v>0</v>
      </c>
      <c r="BI78">
        <v>0</v>
      </c>
      <c r="BJ78">
        <v>0</v>
      </c>
      <c r="BK78">
        <v>0</v>
      </c>
      <c r="BL78">
        <v>0</v>
      </c>
      <c r="BM78">
        <v>0</v>
      </c>
      <c r="BN78">
        <v>0</v>
      </c>
      <c r="BO78">
        <v>0</v>
      </c>
      <c r="BP78">
        <v>0</v>
      </c>
      <c r="BQ78">
        <v>0</v>
      </c>
      <c r="BR78">
        <v>0</v>
      </c>
      <c r="BS78" s="180">
        <v>0</v>
      </c>
      <c r="BT78" s="180">
        <v>0</v>
      </c>
      <c r="BU78" s="180">
        <v>0</v>
      </c>
      <c r="BV78" s="180">
        <v>0</v>
      </c>
      <c r="BW78" s="180">
        <v>0</v>
      </c>
      <c r="BX78" s="180">
        <v>0</v>
      </c>
      <c r="BY78" s="180">
        <v>0</v>
      </c>
      <c r="BZ78" s="180">
        <v>0</v>
      </c>
      <c r="CA78" s="180">
        <v>0</v>
      </c>
      <c r="CB78" s="180">
        <v>0</v>
      </c>
      <c r="CC78" s="180">
        <v>0</v>
      </c>
      <c r="CD78" s="180">
        <v>0</v>
      </c>
      <c r="CE78" s="180"/>
      <c r="CF78" s="180"/>
      <c r="CG78" s="180"/>
      <c r="CH78" s="180"/>
      <c r="CI78" s="180"/>
      <c r="CJ78" s="180"/>
      <c r="CK78" s="180"/>
      <c r="CL78" s="180"/>
      <c r="CM78" s="180"/>
      <c r="CN78" s="180"/>
      <c r="CO78" s="180"/>
      <c r="CP78" s="180"/>
      <c r="CQ78" s="180"/>
      <c r="CR78" s="180"/>
      <c r="CS78" s="180"/>
      <c r="CT78" s="180"/>
      <c r="CU78" s="180"/>
    </row>
    <row r="79" spans="1:99" x14ac:dyDescent="0.3">
      <c r="A79">
        <v>366</v>
      </c>
      <c r="B79" s="551" t="s">
        <v>885</v>
      </c>
      <c r="E79">
        <v>0</v>
      </c>
      <c r="F79">
        <v>0</v>
      </c>
      <c r="G79">
        <v>0</v>
      </c>
      <c r="H79">
        <v>0</v>
      </c>
      <c r="I79">
        <v>0</v>
      </c>
      <c r="J79">
        <v>0</v>
      </c>
      <c r="K79">
        <v>0</v>
      </c>
      <c r="L79">
        <v>361089</v>
      </c>
      <c r="M79" s="551">
        <v>0</v>
      </c>
      <c r="N79">
        <v>0</v>
      </c>
      <c r="O79">
        <v>0</v>
      </c>
      <c r="P79">
        <v>0</v>
      </c>
      <c r="Q79">
        <v>0</v>
      </c>
      <c r="R79">
        <v>0</v>
      </c>
      <c r="S79">
        <v>0</v>
      </c>
      <c r="T79">
        <v>0</v>
      </c>
      <c r="U79">
        <v>0</v>
      </c>
      <c r="V79">
        <v>0</v>
      </c>
      <c r="W79">
        <v>0</v>
      </c>
      <c r="X79">
        <v>0</v>
      </c>
      <c r="Y79">
        <v>0</v>
      </c>
      <c r="Z79">
        <v>0</v>
      </c>
      <c r="AA79">
        <v>0</v>
      </c>
      <c r="AB79">
        <v>0</v>
      </c>
      <c r="AC79">
        <v>0</v>
      </c>
      <c r="AD79">
        <v>0</v>
      </c>
      <c r="AF79">
        <v>2232000</v>
      </c>
      <c r="AG79">
        <v>0</v>
      </c>
      <c r="AH79">
        <v>0</v>
      </c>
      <c r="AI79">
        <v>0</v>
      </c>
      <c r="AJ79">
        <v>0</v>
      </c>
      <c r="AK79">
        <v>0</v>
      </c>
      <c r="AL79">
        <v>0</v>
      </c>
      <c r="AM79">
        <v>0</v>
      </c>
      <c r="AN79">
        <v>0</v>
      </c>
      <c r="AO79">
        <v>0</v>
      </c>
      <c r="AP79">
        <v>42791</v>
      </c>
      <c r="AQ79">
        <v>0</v>
      </c>
      <c r="AR79">
        <v>0</v>
      </c>
      <c r="AS79">
        <v>0</v>
      </c>
      <c r="AT79">
        <v>0</v>
      </c>
      <c r="AU79">
        <v>0</v>
      </c>
      <c r="AV79">
        <v>5388913</v>
      </c>
      <c r="AW79">
        <v>0</v>
      </c>
      <c r="AX79">
        <v>0</v>
      </c>
      <c r="AY79">
        <v>0</v>
      </c>
      <c r="BA79">
        <v>0</v>
      </c>
      <c r="BB79">
        <v>0</v>
      </c>
      <c r="BC79">
        <v>0</v>
      </c>
      <c r="BD79">
        <v>0</v>
      </c>
      <c r="BE79">
        <v>0</v>
      </c>
      <c r="BF79">
        <v>0</v>
      </c>
      <c r="BG79">
        <v>0</v>
      </c>
      <c r="BH79">
        <v>0</v>
      </c>
      <c r="BI79">
        <v>0</v>
      </c>
      <c r="BJ79">
        <v>0</v>
      </c>
      <c r="BK79">
        <v>0</v>
      </c>
      <c r="BL79">
        <v>0</v>
      </c>
      <c r="BM79">
        <v>0</v>
      </c>
      <c r="BN79">
        <v>0</v>
      </c>
      <c r="BO79">
        <v>0</v>
      </c>
      <c r="BP79">
        <v>2901151</v>
      </c>
      <c r="BQ79">
        <v>0</v>
      </c>
      <c r="BR79">
        <v>0</v>
      </c>
      <c r="BS79" s="180">
        <v>0</v>
      </c>
      <c r="BT79" s="180">
        <v>0</v>
      </c>
      <c r="BU79" s="180">
        <v>7000</v>
      </c>
      <c r="BV79" s="180">
        <v>0</v>
      </c>
      <c r="BW79" s="180">
        <v>0</v>
      </c>
      <c r="BX79" s="180">
        <v>0</v>
      </c>
      <c r="BY79" s="180">
        <v>0</v>
      </c>
      <c r="BZ79" s="180">
        <v>22000</v>
      </c>
      <c r="CA79" s="180">
        <v>0</v>
      </c>
      <c r="CB79" s="180">
        <v>0</v>
      </c>
      <c r="CC79" s="180">
        <v>0</v>
      </c>
      <c r="CD79" s="180">
        <v>0</v>
      </c>
      <c r="CE79" s="180"/>
      <c r="CF79" s="180"/>
      <c r="CG79" s="180"/>
      <c r="CH79" s="180"/>
      <c r="CI79" s="180"/>
      <c r="CJ79" s="180"/>
      <c r="CK79" s="180"/>
      <c r="CL79" s="180"/>
      <c r="CM79" s="180"/>
      <c r="CN79" s="180"/>
      <c r="CO79" s="180"/>
      <c r="CP79" s="180"/>
      <c r="CQ79" s="180"/>
      <c r="CR79" s="180"/>
      <c r="CS79" s="180"/>
      <c r="CT79" s="180"/>
      <c r="CU79" s="180"/>
    </row>
    <row r="80" spans="1:99" x14ac:dyDescent="0.3">
      <c r="A80">
        <v>368</v>
      </c>
      <c r="B80" t="s">
        <v>191</v>
      </c>
      <c r="E80">
        <v>0</v>
      </c>
      <c r="F80">
        <v>0</v>
      </c>
      <c r="G80">
        <v>0</v>
      </c>
      <c r="H80">
        <v>0</v>
      </c>
      <c r="I80">
        <v>0</v>
      </c>
      <c r="J80">
        <v>0</v>
      </c>
      <c r="K80">
        <v>0</v>
      </c>
      <c r="L80">
        <v>0</v>
      </c>
      <c r="M80">
        <v>799608</v>
      </c>
      <c r="N80">
        <v>0</v>
      </c>
      <c r="O80">
        <v>0</v>
      </c>
      <c r="P80">
        <v>0</v>
      </c>
      <c r="Q80">
        <v>0</v>
      </c>
      <c r="R80">
        <v>56317</v>
      </c>
      <c r="S80">
        <v>0</v>
      </c>
      <c r="T80">
        <v>0</v>
      </c>
      <c r="U80">
        <v>0</v>
      </c>
      <c r="V80">
        <v>0</v>
      </c>
      <c r="W80">
        <v>0</v>
      </c>
      <c r="X80">
        <v>0</v>
      </c>
      <c r="Y80">
        <v>0</v>
      </c>
      <c r="Z80">
        <v>0</v>
      </c>
      <c r="AA80">
        <v>0</v>
      </c>
      <c r="AB80">
        <v>0</v>
      </c>
      <c r="AC80">
        <v>0</v>
      </c>
      <c r="AD80">
        <v>0</v>
      </c>
      <c r="AF80">
        <v>0</v>
      </c>
      <c r="AG80">
        <v>0</v>
      </c>
      <c r="AH80">
        <v>0</v>
      </c>
      <c r="AI80">
        <v>0</v>
      </c>
      <c r="AJ80">
        <v>0</v>
      </c>
      <c r="AK80">
        <v>0</v>
      </c>
      <c r="AL80">
        <v>19683</v>
      </c>
      <c r="AM80">
        <v>0</v>
      </c>
      <c r="AN80">
        <v>13575</v>
      </c>
      <c r="AO80">
        <v>0</v>
      </c>
      <c r="AP80">
        <v>0</v>
      </c>
      <c r="AQ80">
        <v>0</v>
      </c>
      <c r="AR80">
        <v>0</v>
      </c>
      <c r="AS80">
        <v>0</v>
      </c>
      <c r="AT80">
        <v>0</v>
      </c>
      <c r="AU80">
        <v>1859682</v>
      </c>
      <c r="AV80">
        <v>0</v>
      </c>
      <c r="AW80">
        <v>0</v>
      </c>
      <c r="AX80">
        <v>0</v>
      </c>
      <c r="AY80">
        <v>0</v>
      </c>
      <c r="BA80">
        <v>0</v>
      </c>
      <c r="BB80">
        <v>0</v>
      </c>
      <c r="BC80">
        <v>0</v>
      </c>
      <c r="BD80">
        <v>0</v>
      </c>
      <c r="BE80">
        <v>0</v>
      </c>
      <c r="BF80">
        <v>53687</v>
      </c>
      <c r="BG80">
        <v>0</v>
      </c>
      <c r="BH80">
        <v>0</v>
      </c>
      <c r="BI80">
        <v>0</v>
      </c>
      <c r="BJ80">
        <v>0</v>
      </c>
      <c r="BK80">
        <v>0</v>
      </c>
      <c r="BL80">
        <v>0</v>
      </c>
      <c r="BM80">
        <v>0</v>
      </c>
      <c r="BN80">
        <v>0</v>
      </c>
      <c r="BO80">
        <v>106794</v>
      </c>
      <c r="BP80">
        <v>1916730</v>
      </c>
      <c r="BQ80">
        <v>0</v>
      </c>
      <c r="BR80">
        <v>0</v>
      </c>
      <c r="BS80" s="180">
        <v>0</v>
      </c>
      <c r="BT80" s="180">
        <v>0</v>
      </c>
      <c r="BU80" s="180">
        <v>0</v>
      </c>
      <c r="BV80" s="180">
        <v>0</v>
      </c>
      <c r="BW80" s="180">
        <v>0</v>
      </c>
      <c r="BX80" s="180">
        <v>0</v>
      </c>
      <c r="BY80" s="180">
        <v>0</v>
      </c>
      <c r="BZ80" s="180">
        <v>0</v>
      </c>
      <c r="CA80" s="180">
        <v>0</v>
      </c>
      <c r="CB80" s="180">
        <v>0</v>
      </c>
      <c r="CC80" s="180">
        <v>0</v>
      </c>
      <c r="CD80" s="180">
        <v>100631</v>
      </c>
      <c r="CE80" s="180"/>
      <c r="CF80" s="180"/>
      <c r="CG80" s="180"/>
      <c r="CH80" s="180"/>
      <c r="CI80" s="180"/>
      <c r="CJ80" s="180"/>
      <c r="CK80" s="180"/>
      <c r="CL80" s="180"/>
      <c r="CM80" s="180"/>
      <c r="CN80" s="180"/>
      <c r="CO80" s="180"/>
      <c r="CP80" s="180"/>
      <c r="CQ80" s="180"/>
      <c r="CR80" s="180"/>
      <c r="CS80" s="180"/>
      <c r="CT80" s="180"/>
      <c r="CU80" s="180"/>
    </row>
    <row r="81" spans="1:99" s="558" customFormat="1" x14ac:dyDescent="0.3">
      <c r="A81">
        <v>369</v>
      </c>
      <c r="B81" t="s">
        <v>196</v>
      </c>
      <c r="C81"/>
      <c r="D81"/>
      <c r="E81">
        <v>1193812</v>
      </c>
      <c r="F81">
        <v>202050</v>
      </c>
      <c r="G81">
        <v>430113</v>
      </c>
      <c r="H81">
        <v>513023</v>
      </c>
      <c r="I81">
        <v>185962</v>
      </c>
      <c r="J81">
        <v>16476</v>
      </c>
      <c r="K81">
        <v>69700</v>
      </c>
      <c r="L81">
        <v>2158978</v>
      </c>
      <c r="M81">
        <v>100996414</v>
      </c>
      <c r="N81">
        <v>912616</v>
      </c>
      <c r="O81">
        <v>3766973</v>
      </c>
      <c r="P81">
        <v>10173</v>
      </c>
      <c r="Q81">
        <v>2302469</v>
      </c>
      <c r="R81">
        <v>65231</v>
      </c>
      <c r="S81">
        <v>177047</v>
      </c>
      <c r="T81">
        <v>838887</v>
      </c>
      <c r="U81">
        <v>670667</v>
      </c>
      <c r="V81">
        <v>2923538</v>
      </c>
      <c r="W81">
        <v>1045163</v>
      </c>
      <c r="X81">
        <v>548139</v>
      </c>
      <c r="Y81">
        <v>385947</v>
      </c>
      <c r="Z81">
        <v>17724869</v>
      </c>
      <c r="AA81">
        <v>1580761</v>
      </c>
      <c r="AB81">
        <v>422677</v>
      </c>
      <c r="AC81">
        <v>3883395</v>
      </c>
      <c r="AD81">
        <v>430788</v>
      </c>
      <c r="AE81"/>
      <c r="AF81">
        <v>5008859</v>
      </c>
      <c r="AG81">
        <v>191370</v>
      </c>
      <c r="AH81">
        <v>120855</v>
      </c>
      <c r="AI81">
        <v>883821</v>
      </c>
      <c r="AJ81">
        <v>752113</v>
      </c>
      <c r="AK81">
        <v>63798</v>
      </c>
      <c r="AL81">
        <v>0</v>
      </c>
      <c r="AM81">
        <v>74334</v>
      </c>
      <c r="AN81">
        <v>8554543</v>
      </c>
      <c r="AO81">
        <v>95216</v>
      </c>
      <c r="AP81">
        <v>890724</v>
      </c>
      <c r="AQ81">
        <v>1544961</v>
      </c>
      <c r="AR81">
        <v>40709</v>
      </c>
      <c r="AS81">
        <v>181967</v>
      </c>
      <c r="AT81">
        <v>267677</v>
      </c>
      <c r="AU81">
        <v>34704355</v>
      </c>
      <c r="AV81">
        <v>10798433</v>
      </c>
      <c r="AW81">
        <v>283988</v>
      </c>
      <c r="AX81">
        <v>182136</v>
      </c>
      <c r="AY81">
        <v>74245</v>
      </c>
      <c r="AZ81"/>
      <c r="BA81">
        <v>364963</v>
      </c>
      <c r="BB81">
        <v>2743433</v>
      </c>
      <c r="BC81">
        <v>48683</v>
      </c>
      <c r="BD81">
        <v>84134</v>
      </c>
      <c r="BE81">
        <v>21066</v>
      </c>
      <c r="BF81">
        <v>7525481</v>
      </c>
      <c r="BG81">
        <v>24895</v>
      </c>
      <c r="BH81">
        <v>7681474</v>
      </c>
      <c r="BI81">
        <v>1651264</v>
      </c>
      <c r="BJ81">
        <v>118963</v>
      </c>
      <c r="BK81">
        <v>57749</v>
      </c>
      <c r="BL81">
        <v>5899286</v>
      </c>
      <c r="BM81">
        <v>8284997</v>
      </c>
      <c r="BN81">
        <v>1120243</v>
      </c>
      <c r="BO81">
        <v>5543971</v>
      </c>
      <c r="BP81">
        <v>46830277</v>
      </c>
      <c r="BQ81">
        <v>156318</v>
      </c>
      <c r="BR81">
        <v>1023687</v>
      </c>
      <c r="BS81" s="558">
        <v>200960</v>
      </c>
      <c r="BT81" s="558">
        <v>4873727</v>
      </c>
      <c r="BU81" s="558">
        <v>64915</v>
      </c>
      <c r="BV81" s="558">
        <v>143268</v>
      </c>
      <c r="BW81" s="558">
        <v>325709</v>
      </c>
      <c r="BX81" s="558">
        <v>3420307</v>
      </c>
      <c r="BY81" s="558">
        <v>17848757</v>
      </c>
      <c r="BZ81" s="558">
        <v>182142</v>
      </c>
      <c r="CA81" s="558">
        <v>7137838</v>
      </c>
      <c r="CB81" s="558">
        <v>304199</v>
      </c>
      <c r="CC81" s="558">
        <v>652690</v>
      </c>
      <c r="CD81" s="558">
        <v>11105409</v>
      </c>
    </row>
    <row r="82" spans="1:99" s="558" customFormat="1" x14ac:dyDescent="0.3">
      <c r="A82">
        <v>370</v>
      </c>
      <c r="B82" t="s">
        <v>198</v>
      </c>
      <c r="C82"/>
      <c r="D82"/>
      <c r="E82">
        <v>27976</v>
      </c>
      <c r="F82">
        <v>58720</v>
      </c>
      <c r="G82">
        <v>0</v>
      </c>
      <c r="H82">
        <v>1134</v>
      </c>
      <c r="I82">
        <v>0</v>
      </c>
      <c r="J82">
        <v>0</v>
      </c>
      <c r="K82">
        <v>0</v>
      </c>
      <c r="L82">
        <v>550534</v>
      </c>
      <c r="M82">
        <v>15125191</v>
      </c>
      <c r="N82">
        <v>0</v>
      </c>
      <c r="O82">
        <v>847399</v>
      </c>
      <c r="P82">
        <v>0</v>
      </c>
      <c r="Q82">
        <v>288632</v>
      </c>
      <c r="R82">
        <v>0</v>
      </c>
      <c r="S82">
        <v>14778</v>
      </c>
      <c r="T82">
        <v>77490</v>
      </c>
      <c r="U82">
        <v>0</v>
      </c>
      <c r="V82">
        <v>227961</v>
      </c>
      <c r="W82">
        <v>425101</v>
      </c>
      <c r="X82">
        <v>23005</v>
      </c>
      <c r="Y82">
        <v>4643</v>
      </c>
      <c r="Z82">
        <v>0</v>
      </c>
      <c r="AA82">
        <v>0</v>
      </c>
      <c r="AB82">
        <v>11888</v>
      </c>
      <c r="AC82">
        <v>5053164</v>
      </c>
      <c r="AD82">
        <v>48400</v>
      </c>
      <c r="AE82"/>
      <c r="AF82">
        <v>5296346</v>
      </c>
      <c r="AG82">
        <v>0</v>
      </c>
      <c r="AH82">
        <v>0</v>
      </c>
      <c r="AI82">
        <v>435061</v>
      </c>
      <c r="AJ82">
        <v>0</v>
      </c>
      <c r="AK82">
        <v>0</v>
      </c>
      <c r="AL82">
        <v>4461059</v>
      </c>
      <c r="AM82">
        <v>0</v>
      </c>
      <c r="AN82">
        <v>0</v>
      </c>
      <c r="AO82">
        <v>0</v>
      </c>
      <c r="AP82">
        <v>15651</v>
      </c>
      <c r="AQ82">
        <v>109967</v>
      </c>
      <c r="AR82">
        <v>0</v>
      </c>
      <c r="AS82">
        <v>73318</v>
      </c>
      <c r="AT82">
        <v>12195</v>
      </c>
      <c r="AU82">
        <v>852886</v>
      </c>
      <c r="AV82">
        <v>0</v>
      </c>
      <c r="AW82">
        <v>156132</v>
      </c>
      <c r="AX82">
        <v>4376</v>
      </c>
      <c r="AY82">
        <v>0</v>
      </c>
      <c r="AZ82"/>
      <c r="BA82">
        <v>0</v>
      </c>
      <c r="BB82">
        <v>0</v>
      </c>
      <c r="BC82">
        <v>0</v>
      </c>
      <c r="BD82">
        <v>2567</v>
      </c>
      <c r="BE82">
        <v>0</v>
      </c>
      <c r="BF82">
        <v>1794439</v>
      </c>
      <c r="BG82">
        <v>0</v>
      </c>
      <c r="BH82">
        <v>359180</v>
      </c>
      <c r="BI82">
        <v>116862</v>
      </c>
      <c r="BJ82">
        <v>6105</v>
      </c>
      <c r="BK82">
        <v>0</v>
      </c>
      <c r="BL82">
        <v>803581</v>
      </c>
      <c r="BM82">
        <v>2489202</v>
      </c>
      <c r="BN82">
        <v>78573</v>
      </c>
      <c r="BO82">
        <v>5211986</v>
      </c>
      <c r="BP82">
        <v>3035095</v>
      </c>
      <c r="BQ82">
        <v>3242</v>
      </c>
      <c r="BR82">
        <v>0</v>
      </c>
      <c r="BS82" s="558">
        <v>0</v>
      </c>
      <c r="BT82" s="558">
        <v>676228</v>
      </c>
      <c r="BU82" s="558">
        <v>5322</v>
      </c>
      <c r="BV82" s="558">
        <v>0</v>
      </c>
      <c r="BW82" s="558">
        <v>280221</v>
      </c>
      <c r="BX82" s="558">
        <v>135750</v>
      </c>
      <c r="BY82" s="558">
        <v>0</v>
      </c>
      <c r="BZ82" s="558">
        <v>0</v>
      </c>
      <c r="CA82" s="558">
        <v>832489</v>
      </c>
      <c r="CB82" s="558">
        <v>15204</v>
      </c>
      <c r="CC82" s="558">
        <v>123841</v>
      </c>
      <c r="CD82" s="558">
        <v>4616321</v>
      </c>
    </row>
    <row r="83" spans="1:99" s="558" customFormat="1" x14ac:dyDescent="0.3">
      <c r="A83">
        <v>371</v>
      </c>
      <c r="B83" t="s">
        <v>248</v>
      </c>
      <c r="C83"/>
      <c r="D83"/>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3663111</v>
      </c>
      <c r="AA83">
        <v>0</v>
      </c>
      <c r="AB83">
        <v>0</v>
      </c>
      <c r="AC83">
        <v>0</v>
      </c>
      <c r="AD83">
        <v>0</v>
      </c>
      <c r="AE83"/>
      <c r="AF83">
        <v>0</v>
      </c>
      <c r="AG83">
        <v>0</v>
      </c>
      <c r="AH83">
        <v>0</v>
      </c>
      <c r="AI83">
        <v>0</v>
      </c>
      <c r="AJ83">
        <v>0</v>
      </c>
      <c r="AK83">
        <v>0</v>
      </c>
      <c r="AL83">
        <v>0</v>
      </c>
      <c r="AM83">
        <v>0</v>
      </c>
      <c r="AN83">
        <v>0</v>
      </c>
      <c r="AO83">
        <v>0</v>
      </c>
      <c r="AP83">
        <v>0</v>
      </c>
      <c r="AQ83">
        <v>25179</v>
      </c>
      <c r="AR83">
        <v>0</v>
      </c>
      <c r="AS83">
        <v>0</v>
      </c>
      <c r="AT83">
        <v>0</v>
      </c>
      <c r="AU83">
        <v>40104000</v>
      </c>
      <c r="AV83">
        <v>5637664</v>
      </c>
      <c r="AW83">
        <v>0</v>
      </c>
      <c r="AX83">
        <v>0</v>
      </c>
      <c r="AY83">
        <v>0</v>
      </c>
      <c r="AZ83"/>
      <c r="BA83">
        <v>0</v>
      </c>
      <c r="BB83">
        <v>0</v>
      </c>
      <c r="BC83">
        <v>0</v>
      </c>
      <c r="BD83">
        <v>0</v>
      </c>
      <c r="BE83">
        <v>0</v>
      </c>
      <c r="BF83">
        <v>0</v>
      </c>
      <c r="BG83">
        <v>0</v>
      </c>
      <c r="BH83">
        <v>0</v>
      </c>
      <c r="BI83">
        <v>0</v>
      </c>
      <c r="BJ83">
        <v>0</v>
      </c>
      <c r="BK83">
        <v>0</v>
      </c>
      <c r="BL83">
        <v>0</v>
      </c>
      <c r="BM83">
        <v>0</v>
      </c>
      <c r="BN83">
        <v>0</v>
      </c>
      <c r="BO83">
        <v>0</v>
      </c>
      <c r="BP83">
        <v>6474442</v>
      </c>
      <c r="BQ83">
        <v>0</v>
      </c>
      <c r="BR83">
        <v>0</v>
      </c>
      <c r="BS83" s="558">
        <v>0</v>
      </c>
      <c r="BT83" s="558">
        <v>0</v>
      </c>
      <c r="BU83" s="558">
        <v>0</v>
      </c>
      <c r="BV83" s="558">
        <v>0</v>
      </c>
      <c r="BW83" s="558">
        <v>0</v>
      </c>
      <c r="BX83" s="558">
        <v>0</v>
      </c>
      <c r="BY83" s="558">
        <v>250000</v>
      </c>
      <c r="BZ83" s="558">
        <v>0</v>
      </c>
      <c r="CA83" s="558">
        <v>0</v>
      </c>
      <c r="CB83" s="558">
        <v>0</v>
      </c>
      <c r="CC83" s="558">
        <v>0</v>
      </c>
      <c r="CD83" s="558">
        <v>0</v>
      </c>
    </row>
    <row r="84" spans="1:99" x14ac:dyDescent="0.3">
      <c r="A84">
        <v>373</v>
      </c>
      <c r="B84" t="s">
        <v>302</v>
      </c>
      <c r="E84">
        <v>3694472</v>
      </c>
      <c r="F84">
        <v>616754</v>
      </c>
      <c r="G84">
        <v>715220</v>
      </c>
      <c r="H84">
        <v>1121047</v>
      </c>
      <c r="I84">
        <v>437579</v>
      </c>
      <c r="J84">
        <v>85723</v>
      </c>
      <c r="K84">
        <v>88303</v>
      </c>
      <c r="L84">
        <v>6922842</v>
      </c>
      <c r="M84">
        <v>490144735</v>
      </c>
      <c r="N84">
        <v>1829529</v>
      </c>
      <c r="O84">
        <v>5019857</v>
      </c>
      <c r="P84">
        <v>73078</v>
      </c>
      <c r="Q84">
        <v>15968694</v>
      </c>
      <c r="R84">
        <v>124221</v>
      </c>
      <c r="S84">
        <v>513595</v>
      </c>
      <c r="T84">
        <v>2315652</v>
      </c>
      <c r="U84">
        <v>534028</v>
      </c>
      <c r="V84">
        <v>7500885</v>
      </c>
      <c r="W84">
        <v>1822804</v>
      </c>
      <c r="X84">
        <v>755877</v>
      </c>
      <c r="Y84">
        <v>1741368</v>
      </c>
      <c r="Z84">
        <v>50698429</v>
      </c>
      <c r="AA84">
        <v>584247</v>
      </c>
      <c r="AB84">
        <v>707351</v>
      </c>
      <c r="AC84">
        <v>97430495</v>
      </c>
      <c r="AD84">
        <v>1022182</v>
      </c>
      <c r="AF84">
        <v>351298031</v>
      </c>
      <c r="AG84">
        <v>468664</v>
      </c>
      <c r="AH84">
        <v>308165</v>
      </c>
      <c r="AI84">
        <v>7715608</v>
      </c>
      <c r="AJ84">
        <v>1286465</v>
      </c>
      <c r="AK84">
        <v>150606</v>
      </c>
      <c r="AL84">
        <v>77445439</v>
      </c>
      <c r="AM84">
        <v>530540</v>
      </c>
      <c r="AN84">
        <v>16637441</v>
      </c>
      <c r="AO84">
        <v>0</v>
      </c>
      <c r="AP84">
        <v>4607758</v>
      </c>
      <c r="AQ84">
        <v>3305361</v>
      </c>
      <c r="AR84">
        <v>128433</v>
      </c>
      <c r="AS84">
        <v>2506215</v>
      </c>
      <c r="AT84">
        <v>434215</v>
      </c>
      <c r="AU84">
        <v>494503415</v>
      </c>
      <c r="AV84">
        <v>117460213</v>
      </c>
      <c r="AW84">
        <v>7554242</v>
      </c>
      <c r="AX84">
        <v>450766</v>
      </c>
      <c r="AY84">
        <v>446632</v>
      </c>
      <c r="BA84">
        <v>344493</v>
      </c>
      <c r="BB84">
        <v>17481998</v>
      </c>
      <c r="BC84">
        <v>371957</v>
      </c>
      <c r="BD84">
        <v>334800</v>
      </c>
      <c r="BE84">
        <v>48317</v>
      </c>
      <c r="BF84">
        <v>11839546</v>
      </c>
      <c r="BG84">
        <v>62394</v>
      </c>
      <c r="BH84">
        <v>13340886</v>
      </c>
      <c r="BI84">
        <v>4033657</v>
      </c>
      <c r="BJ84">
        <v>879100</v>
      </c>
      <c r="BK84">
        <v>0</v>
      </c>
      <c r="BL84">
        <v>30551171</v>
      </c>
      <c r="BM84">
        <v>28971943</v>
      </c>
      <c r="BN84">
        <v>3550394</v>
      </c>
      <c r="BO84">
        <v>117269778</v>
      </c>
      <c r="BP84">
        <v>610329264</v>
      </c>
      <c r="BQ84">
        <v>772266</v>
      </c>
      <c r="BR84">
        <v>13391469</v>
      </c>
      <c r="BS84" s="180">
        <v>1849820</v>
      </c>
      <c r="BT84" s="180">
        <v>10871006</v>
      </c>
      <c r="BU84" s="180">
        <v>1060652</v>
      </c>
      <c r="BV84" s="180">
        <v>803727</v>
      </c>
      <c r="BW84" s="180">
        <v>2562822</v>
      </c>
      <c r="BX84" s="180">
        <v>1363691</v>
      </c>
      <c r="BY84" s="180">
        <v>62661021</v>
      </c>
      <c r="BZ84" s="180">
        <v>701641</v>
      </c>
      <c r="CA84" s="180">
        <v>17317848</v>
      </c>
      <c r="CB84" s="180">
        <v>892607</v>
      </c>
      <c r="CC84" s="180">
        <v>3524012</v>
      </c>
      <c r="CD84" s="180">
        <v>73404800</v>
      </c>
      <c r="CE84" s="180"/>
      <c r="CF84" s="180"/>
      <c r="CG84" s="180"/>
      <c r="CH84" s="180"/>
      <c r="CI84" s="180"/>
      <c r="CJ84" s="180"/>
      <c r="CK84" s="180"/>
      <c r="CL84" s="180"/>
      <c r="CM84" s="180"/>
      <c r="CN84" s="180"/>
      <c r="CO84" s="180"/>
      <c r="CP84" s="180"/>
      <c r="CQ84" s="180"/>
      <c r="CR84" s="180"/>
      <c r="CS84" s="180"/>
      <c r="CT84" s="180"/>
      <c r="CU84" s="180"/>
    </row>
    <row r="85" spans="1:99" x14ac:dyDescent="0.3">
      <c r="A85">
        <v>375</v>
      </c>
      <c r="B85" t="s">
        <v>213</v>
      </c>
      <c r="E85">
        <v>-439690</v>
      </c>
      <c r="F85">
        <v>0</v>
      </c>
      <c r="G85">
        <v>1125081</v>
      </c>
      <c r="H85">
        <v>878166</v>
      </c>
      <c r="I85">
        <v>122409</v>
      </c>
      <c r="J85">
        <v>0</v>
      </c>
      <c r="K85">
        <v>257732</v>
      </c>
      <c r="L85">
        <v>4572534</v>
      </c>
      <c r="M85">
        <v>0</v>
      </c>
      <c r="N85">
        <v>0</v>
      </c>
      <c r="O85">
        <v>0</v>
      </c>
      <c r="P85">
        <v>36751</v>
      </c>
      <c r="Q85">
        <v>9961311</v>
      </c>
      <c r="R85">
        <v>0</v>
      </c>
      <c r="S85">
        <v>242240</v>
      </c>
      <c r="T85">
        <v>1057864</v>
      </c>
      <c r="U85">
        <v>1050181</v>
      </c>
      <c r="V85">
        <v>8478759</v>
      </c>
      <c r="W85">
        <v>0</v>
      </c>
      <c r="X85">
        <v>413018</v>
      </c>
      <c r="Y85">
        <v>694464</v>
      </c>
      <c r="Z85">
        <v>33739018</v>
      </c>
      <c r="AA85">
        <v>1531571</v>
      </c>
      <c r="AB85">
        <v>532839</v>
      </c>
      <c r="AC85">
        <v>0</v>
      </c>
      <c r="AD85">
        <v>0</v>
      </c>
      <c r="AF85">
        <v>24146871</v>
      </c>
      <c r="AG85">
        <v>0</v>
      </c>
      <c r="AH85">
        <v>76639</v>
      </c>
      <c r="AI85">
        <v>1817405</v>
      </c>
      <c r="AJ85">
        <v>118916</v>
      </c>
      <c r="AK85">
        <v>-20443</v>
      </c>
      <c r="AL85">
        <v>22256980</v>
      </c>
      <c r="AM85">
        <v>1945169</v>
      </c>
      <c r="AN85">
        <v>12591035</v>
      </c>
      <c r="AO85">
        <v>0</v>
      </c>
      <c r="AP85">
        <v>3754495</v>
      </c>
      <c r="AQ85">
        <v>0</v>
      </c>
      <c r="AR85">
        <v>0</v>
      </c>
      <c r="AS85">
        <v>0</v>
      </c>
      <c r="AT85">
        <v>322712</v>
      </c>
      <c r="AU85">
        <v>38481241</v>
      </c>
      <c r="AV85">
        <v>23435980</v>
      </c>
      <c r="AW85">
        <v>787311</v>
      </c>
      <c r="AX85">
        <v>67063</v>
      </c>
      <c r="AY85">
        <v>2172</v>
      </c>
      <c r="BA85">
        <v>246542</v>
      </c>
      <c r="BB85">
        <v>1457803</v>
      </c>
      <c r="BC85">
        <v>486165</v>
      </c>
      <c r="BD85">
        <v>0</v>
      </c>
      <c r="BE85">
        <v>173893</v>
      </c>
      <c r="BF85">
        <v>10949307</v>
      </c>
      <c r="BG85">
        <v>0</v>
      </c>
      <c r="BH85">
        <v>10987694</v>
      </c>
      <c r="BI85">
        <v>754510</v>
      </c>
      <c r="BJ85">
        <v>0</v>
      </c>
      <c r="BK85">
        <v>0</v>
      </c>
      <c r="BL85">
        <v>28768033</v>
      </c>
      <c r="BM85">
        <v>12273614</v>
      </c>
      <c r="BN85">
        <v>926230</v>
      </c>
      <c r="BO85">
        <v>23275544</v>
      </c>
      <c r="BP85">
        <v>28531807</v>
      </c>
      <c r="BQ85">
        <v>292361</v>
      </c>
      <c r="BR85">
        <v>147036</v>
      </c>
      <c r="BS85" s="180">
        <v>0</v>
      </c>
      <c r="BT85" s="180">
        <v>11867203</v>
      </c>
      <c r="BU85" s="180">
        <v>297508</v>
      </c>
      <c r="BV85" s="180">
        <v>21805</v>
      </c>
      <c r="BW85" s="180">
        <v>5161023</v>
      </c>
      <c r="BX85" s="180">
        <v>0</v>
      </c>
      <c r="BY85" s="180">
        <v>38858744</v>
      </c>
      <c r="BZ85" s="180">
        <v>564560</v>
      </c>
      <c r="CA85" s="180">
        <v>0</v>
      </c>
      <c r="CB85" s="180">
        <v>426636</v>
      </c>
      <c r="CC85" s="180">
        <v>0</v>
      </c>
      <c r="CD85" s="180">
        <v>0</v>
      </c>
      <c r="CE85" s="180"/>
      <c r="CF85" s="180"/>
      <c r="CG85" s="180"/>
      <c r="CH85" s="180"/>
      <c r="CI85" s="180"/>
      <c r="CJ85" s="180"/>
      <c r="CK85" s="180"/>
      <c r="CL85" s="180"/>
      <c r="CM85" s="180"/>
      <c r="CN85" s="180"/>
      <c r="CO85" s="180"/>
      <c r="CP85" s="180"/>
      <c r="CQ85" s="180"/>
      <c r="CR85" s="180"/>
      <c r="CS85" s="180"/>
      <c r="CT85" s="180"/>
      <c r="CU85" s="180"/>
    </row>
    <row r="86" spans="1:99" x14ac:dyDescent="0.3">
      <c r="A86">
        <v>376</v>
      </c>
      <c r="B86" t="s">
        <v>100</v>
      </c>
      <c r="E86">
        <v>0</v>
      </c>
      <c r="F86">
        <v>0</v>
      </c>
      <c r="G86">
        <v>0</v>
      </c>
      <c r="H86">
        <v>-2</v>
      </c>
      <c r="I86">
        <v>0</v>
      </c>
      <c r="J86">
        <v>0</v>
      </c>
      <c r="K86">
        <v>0</v>
      </c>
      <c r="L86">
        <v>278256</v>
      </c>
      <c r="M86">
        <v>0</v>
      </c>
      <c r="N86">
        <v>0</v>
      </c>
      <c r="O86">
        <v>0</v>
      </c>
      <c r="P86">
        <v>0</v>
      </c>
      <c r="Q86">
        <v>0</v>
      </c>
      <c r="R86">
        <v>0</v>
      </c>
      <c r="S86">
        <v>0</v>
      </c>
      <c r="T86">
        <v>0</v>
      </c>
      <c r="U86">
        <v>0</v>
      </c>
      <c r="V86">
        <v>0</v>
      </c>
      <c r="W86">
        <v>0</v>
      </c>
      <c r="X86">
        <v>1</v>
      </c>
      <c r="Y86">
        <v>-87209</v>
      </c>
      <c r="Z86">
        <v>0</v>
      </c>
      <c r="AA86">
        <v>-1197091</v>
      </c>
      <c r="AB86">
        <v>0</v>
      </c>
      <c r="AC86">
        <v>0</v>
      </c>
      <c r="AD86">
        <v>-2262117</v>
      </c>
      <c r="AF86">
        <v>0</v>
      </c>
      <c r="AG86">
        <v>0</v>
      </c>
      <c r="AH86">
        <v>0</v>
      </c>
      <c r="AI86">
        <v>-78589</v>
      </c>
      <c r="AJ86">
        <v>1</v>
      </c>
      <c r="AK86">
        <v>6602</v>
      </c>
      <c r="AL86">
        <v>0</v>
      </c>
      <c r="AM86">
        <v>0</v>
      </c>
      <c r="AN86">
        <v>0</v>
      </c>
      <c r="AO86">
        <v>0</v>
      </c>
      <c r="AP86">
        <v>0</v>
      </c>
      <c r="AQ86">
        <v>0</v>
      </c>
      <c r="AR86">
        <v>0</v>
      </c>
      <c r="AS86">
        <v>0</v>
      </c>
      <c r="AT86">
        <v>0</v>
      </c>
      <c r="AU86">
        <v>0</v>
      </c>
      <c r="AV86">
        <v>0</v>
      </c>
      <c r="AW86">
        <v>0</v>
      </c>
      <c r="AX86">
        <v>0</v>
      </c>
      <c r="AY86">
        <v>0</v>
      </c>
      <c r="BA86">
        <v>0</v>
      </c>
      <c r="BB86">
        <v>0</v>
      </c>
      <c r="BC86">
        <v>2</v>
      </c>
      <c r="BD86">
        <v>0</v>
      </c>
      <c r="BE86">
        <v>-23</v>
      </c>
      <c r="BF86">
        <v>0</v>
      </c>
      <c r="BG86">
        <v>0</v>
      </c>
      <c r="BH86">
        <v>0</v>
      </c>
      <c r="BI86">
        <v>0</v>
      </c>
      <c r="BJ86">
        <v>0</v>
      </c>
      <c r="BK86">
        <v>0</v>
      </c>
      <c r="BL86">
        <v>0</v>
      </c>
      <c r="BM86">
        <v>0</v>
      </c>
      <c r="BN86">
        <v>0</v>
      </c>
      <c r="BO86">
        <v>0</v>
      </c>
      <c r="BP86">
        <v>0</v>
      </c>
      <c r="BQ86">
        <v>-46</v>
      </c>
      <c r="BR86">
        <v>0</v>
      </c>
      <c r="BS86" s="180">
        <v>0</v>
      </c>
      <c r="BT86" s="180">
        <v>0</v>
      </c>
      <c r="BU86" s="180">
        <v>0</v>
      </c>
      <c r="BV86" s="180">
        <v>0</v>
      </c>
      <c r="BW86" s="180">
        <v>0</v>
      </c>
      <c r="BX86" s="180">
        <v>0</v>
      </c>
      <c r="BY86" s="180">
        <v>0</v>
      </c>
      <c r="BZ86" s="180">
        <v>0</v>
      </c>
      <c r="CA86" s="180">
        <v>0</v>
      </c>
      <c r="CB86" s="180">
        <v>-1</v>
      </c>
      <c r="CC86" s="180">
        <v>0</v>
      </c>
      <c r="CD86" s="180">
        <v>0</v>
      </c>
      <c r="CE86" s="180"/>
      <c r="CF86" s="180"/>
      <c r="CG86" s="180"/>
      <c r="CH86" s="180"/>
      <c r="CI86" s="180"/>
      <c r="CJ86" s="180"/>
      <c r="CK86" s="180"/>
      <c r="CL86" s="180"/>
      <c r="CM86" s="180"/>
      <c r="CN86" s="180"/>
      <c r="CO86" s="180"/>
      <c r="CP86" s="180"/>
      <c r="CQ86" s="180"/>
      <c r="CR86" s="180"/>
      <c r="CS86" s="180"/>
      <c r="CT86" s="180"/>
      <c r="CU86" s="180"/>
    </row>
    <row r="87" spans="1:99" x14ac:dyDescent="0.3">
      <c r="A87">
        <v>377</v>
      </c>
      <c r="B87" t="s">
        <v>101</v>
      </c>
      <c r="E87">
        <v>0</v>
      </c>
      <c r="F87">
        <v>0</v>
      </c>
      <c r="G87">
        <v>0</v>
      </c>
      <c r="H87">
        <v>1</v>
      </c>
      <c r="I87">
        <v>0</v>
      </c>
      <c r="J87">
        <v>0</v>
      </c>
      <c r="K87">
        <v>0</v>
      </c>
      <c r="L87">
        <v>0</v>
      </c>
      <c r="M87">
        <v>0</v>
      </c>
      <c r="N87">
        <v>0</v>
      </c>
      <c r="O87">
        <v>0</v>
      </c>
      <c r="P87">
        <v>0</v>
      </c>
      <c r="Q87">
        <v>0</v>
      </c>
      <c r="R87">
        <v>0</v>
      </c>
      <c r="S87">
        <v>62891</v>
      </c>
      <c r="T87">
        <v>1</v>
      </c>
      <c r="U87">
        <v>0</v>
      </c>
      <c r="V87">
        <v>0</v>
      </c>
      <c r="W87">
        <v>0</v>
      </c>
      <c r="X87">
        <v>-1</v>
      </c>
      <c r="Y87">
        <v>0</v>
      </c>
      <c r="Z87">
        <v>0</v>
      </c>
      <c r="AA87">
        <v>1197090</v>
      </c>
      <c r="AB87">
        <v>0</v>
      </c>
      <c r="AC87">
        <v>0</v>
      </c>
      <c r="AD87">
        <v>0</v>
      </c>
      <c r="AF87">
        <v>0</v>
      </c>
      <c r="AG87">
        <v>95</v>
      </c>
      <c r="AH87">
        <v>0</v>
      </c>
      <c r="AI87">
        <v>-11102</v>
      </c>
      <c r="AJ87">
        <v>0</v>
      </c>
      <c r="AK87">
        <v>6132</v>
      </c>
      <c r="AL87">
        <v>0</v>
      </c>
      <c r="AM87">
        <v>0</v>
      </c>
      <c r="AN87">
        <v>5376</v>
      </c>
      <c r="AO87">
        <v>0</v>
      </c>
      <c r="AP87">
        <v>0</v>
      </c>
      <c r="AQ87">
        <v>0</v>
      </c>
      <c r="AR87">
        <v>0</v>
      </c>
      <c r="AS87">
        <v>1</v>
      </c>
      <c r="AT87">
        <v>0</v>
      </c>
      <c r="AU87">
        <v>0</v>
      </c>
      <c r="AV87">
        <v>0</v>
      </c>
      <c r="AW87">
        <v>0</v>
      </c>
      <c r="AX87">
        <v>0</v>
      </c>
      <c r="AY87">
        <v>0</v>
      </c>
      <c r="BA87">
        <v>0</v>
      </c>
      <c r="BB87">
        <v>0</v>
      </c>
      <c r="BC87">
        <v>0</v>
      </c>
      <c r="BD87">
        <v>0</v>
      </c>
      <c r="BE87">
        <v>0</v>
      </c>
      <c r="BF87">
        <v>0</v>
      </c>
      <c r="BG87">
        <v>0</v>
      </c>
      <c r="BH87">
        <v>0</v>
      </c>
      <c r="BI87">
        <v>0</v>
      </c>
      <c r="BJ87">
        <v>0</v>
      </c>
      <c r="BK87">
        <v>0</v>
      </c>
      <c r="BL87">
        <v>0</v>
      </c>
      <c r="BM87">
        <v>0</v>
      </c>
      <c r="BN87">
        <v>0</v>
      </c>
      <c r="BO87">
        <v>0</v>
      </c>
      <c r="BP87">
        <v>0</v>
      </c>
      <c r="BQ87">
        <v>0</v>
      </c>
      <c r="BR87">
        <v>0</v>
      </c>
      <c r="BS87" s="180">
        <v>0</v>
      </c>
      <c r="BT87" s="180">
        <v>-2616083</v>
      </c>
      <c r="BU87" s="180">
        <v>0</v>
      </c>
      <c r="BV87" s="180">
        <v>0</v>
      </c>
      <c r="BW87" s="180">
        <v>0</v>
      </c>
      <c r="BX87" s="180">
        <v>0</v>
      </c>
      <c r="BY87" s="180">
        <v>0</v>
      </c>
      <c r="BZ87" s="180">
        <v>0</v>
      </c>
      <c r="CA87" s="180">
        <v>0</v>
      </c>
      <c r="CB87" s="180">
        <v>0</v>
      </c>
      <c r="CC87" s="180">
        <v>0</v>
      </c>
      <c r="CD87" s="180">
        <v>0</v>
      </c>
      <c r="CE87" s="180"/>
      <c r="CF87" s="180"/>
      <c r="CG87" s="180"/>
      <c r="CH87" s="180"/>
      <c r="CI87" s="180"/>
      <c r="CJ87" s="180"/>
      <c r="CK87" s="180"/>
      <c r="CL87" s="180"/>
      <c r="CM87" s="180"/>
      <c r="CN87" s="180"/>
      <c r="CO87" s="180"/>
      <c r="CP87" s="180"/>
      <c r="CQ87" s="180"/>
      <c r="CR87" s="180"/>
      <c r="CS87" s="180"/>
      <c r="CT87" s="180"/>
      <c r="CU87" s="180"/>
    </row>
    <row r="88" spans="1:99" x14ac:dyDescent="0.3">
      <c r="A88">
        <v>378</v>
      </c>
      <c r="B88" s="551" t="s">
        <v>102</v>
      </c>
      <c r="E88">
        <v>0</v>
      </c>
      <c r="F88">
        <v>0</v>
      </c>
      <c r="G88">
        <v>0</v>
      </c>
      <c r="H88">
        <v>0</v>
      </c>
      <c r="I88">
        <v>0</v>
      </c>
      <c r="J88">
        <v>0</v>
      </c>
      <c r="K88">
        <v>0</v>
      </c>
      <c r="L88">
        <v>0</v>
      </c>
      <c r="M88" s="551">
        <v>0</v>
      </c>
      <c r="N88">
        <v>0</v>
      </c>
      <c r="O88">
        <v>0</v>
      </c>
      <c r="P88">
        <v>0</v>
      </c>
      <c r="Q88">
        <v>0</v>
      </c>
      <c r="R88">
        <v>0</v>
      </c>
      <c r="S88">
        <v>-45214</v>
      </c>
      <c r="T88">
        <v>0</v>
      </c>
      <c r="U88">
        <v>0</v>
      </c>
      <c r="V88">
        <v>0</v>
      </c>
      <c r="W88">
        <v>0</v>
      </c>
      <c r="X88">
        <v>0</v>
      </c>
      <c r="Y88">
        <v>0</v>
      </c>
      <c r="Z88">
        <v>0</v>
      </c>
      <c r="AA88">
        <v>0</v>
      </c>
      <c r="AB88">
        <v>0</v>
      </c>
      <c r="AC88">
        <v>0</v>
      </c>
      <c r="AD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BA88">
        <v>0</v>
      </c>
      <c r="BB88">
        <v>0</v>
      </c>
      <c r="BC88">
        <v>0</v>
      </c>
      <c r="BD88">
        <v>0</v>
      </c>
      <c r="BE88">
        <v>0</v>
      </c>
      <c r="BF88">
        <v>0</v>
      </c>
      <c r="BG88">
        <v>0</v>
      </c>
      <c r="BH88">
        <v>0</v>
      </c>
      <c r="BI88">
        <v>0</v>
      </c>
      <c r="BJ88">
        <v>0</v>
      </c>
      <c r="BK88">
        <v>0</v>
      </c>
      <c r="BL88">
        <v>0</v>
      </c>
      <c r="BM88">
        <v>0</v>
      </c>
      <c r="BN88">
        <v>0</v>
      </c>
      <c r="BO88">
        <v>0</v>
      </c>
      <c r="BP88">
        <v>0</v>
      </c>
      <c r="BQ88">
        <v>0</v>
      </c>
      <c r="BR88">
        <v>0</v>
      </c>
      <c r="BS88" s="180">
        <v>0</v>
      </c>
      <c r="BT88" s="180">
        <v>0</v>
      </c>
      <c r="BU88" s="180">
        <v>0</v>
      </c>
      <c r="BV88" s="180">
        <v>0</v>
      </c>
      <c r="BW88" s="180">
        <v>0</v>
      </c>
      <c r="BX88" s="180">
        <v>0</v>
      </c>
      <c r="BY88" s="180">
        <v>0</v>
      </c>
      <c r="BZ88" s="180">
        <v>0</v>
      </c>
      <c r="CA88" s="180">
        <v>0</v>
      </c>
      <c r="CB88" s="180">
        <v>0</v>
      </c>
      <c r="CC88" s="180">
        <v>0</v>
      </c>
      <c r="CD88" s="180">
        <v>0</v>
      </c>
      <c r="CE88" s="180"/>
      <c r="CF88" s="180"/>
      <c r="CG88" s="180"/>
      <c r="CH88" s="180"/>
      <c r="CI88" s="180"/>
      <c r="CJ88" s="180"/>
      <c r="CK88" s="180"/>
      <c r="CL88" s="180"/>
      <c r="CM88" s="180"/>
      <c r="CN88" s="180"/>
      <c r="CO88" s="180"/>
      <c r="CP88" s="180"/>
      <c r="CQ88" s="180"/>
      <c r="CR88" s="180"/>
      <c r="CS88" s="180"/>
      <c r="CT88" s="180"/>
      <c r="CU88" s="180"/>
    </row>
    <row r="89" spans="1:99" x14ac:dyDescent="0.3">
      <c r="A89">
        <v>379</v>
      </c>
      <c r="B89" t="s">
        <v>110</v>
      </c>
      <c r="E89">
        <v>1508053</v>
      </c>
      <c r="F89">
        <v>685698</v>
      </c>
      <c r="G89">
        <v>1296851</v>
      </c>
      <c r="H89">
        <v>1757847</v>
      </c>
      <c r="I89">
        <v>370421</v>
      </c>
      <c r="J89">
        <v>127374</v>
      </c>
      <c r="K89">
        <v>528730</v>
      </c>
      <c r="L89">
        <v>3999314</v>
      </c>
      <c r="M89">
        <v>117737442</v>
      </c>
      <c r="N89">
        <v>3666748</v>
      </c>
      <c r="O89">
        <v>11250211</v>
      </c>
      <c r="P89">
        <v>210965</v>
      </c>
      <c r="Q89">
        <v>15504956</v>
      </c>
      <c r="R89">
        <v>275032</v>
      </c>
      <c r="S89">
        <v>748903</v>
      </c>
      <c r="T89">
        <v>2293845</v>
      </c>
      <c r="U89">
        <v>2739403</v>
      </c>
      <c r="V89">
        <v>8676903</v>
      </c>
      <c r="W89">
        <v>1723361</v>
      </c>
      <c r="X89">
        <v>1024745</v>
      </c>
      <c r="Y89">
        <v>409528</v>
      </c>
      <c r="Z89">
        <v>47026498</v>
      </c>
      <c r="AA89">
        <v>5053220</v>
      </c>
      <c r="AB89">
        <v>1789750</v>
      </c>
      <c r="AC89">
        <v>49106182</v>
      </c>
      <c r="AD89">
        <v>1105693</v>
      </c>
      <c r="AF89">
        <v>62049728</v>
      </c>
      <c r="AG89">
        <v>1312100</v>
      </c>
      <c r="AH89">
        <v>392533</v>
      </c>
      <c r="AI89">
        <v>4400775</v>
      </c>
      <c r="AJ89">
        <v>1507280</v>
      </c>
      <c r="AK89">
        <v>151561</v>
      </c>
      <c r="AL89">
        <v>30693575</v>
      </c>
      <c r="AM89">
        <v>767143</v>
      </c>
      <c r="AN89">
        <v>17193551</v>
      </c>
      <c r="AO89">
        <v>181220</v>
      </c>
      <c r="AP89">
        <v>6640716</v>
      </c>
      <c r="AQ89">
        <v>3547189</v>
      </c>
      <c r="AR89">
        <v>287307</v>
      </c>
      <c r="AS89">
        <v>3256570</v>
      </c>
      <c r="AT89">
        <v>1279780</v>
      </c>
      <c r="AU89">
        <v>158381721</v>
      </c>
      <c r="AV89">
        <v>47027520</v>
      </c>
      <c r="AW89">
        <v>1997671</v>
      </c>
      <c r="AX89">
        <v>374233</v>
      </c>
      <c r="AY89">
        <v>659200</v>
      </c>
      <c r="BA89">
        <v>1072308</v>
      </c>
      <c r="BB89">
        <v>6712987</v>
      </c>
      <c r="BC89">
        <v>1457549</v>
      </c>
      <c r="BD89">
        <v>294816</v>
      </c>
      <c r="BE89">
        <v>190456</v>
      </c>
      <c r="BF89">
        <v>10359396</v>
      </c>
      <c r="BG89">
        <v>105194</v>
      </c>
      <c r="BH89">
        <v>17539776</v>
      </c>
      <c r="BI89">
        <v>1911038</v>
      </c>
      <c r="BJ89">
        <v>691300</v>
      </c>
      <c r="BK89">
        <v>591873</v>
      </c>
      <c r="BL89">
        <v>14206312</v>
      </c>
      <c r="BM89">
        <v>12867535</v>
      </c>
      <c r="BN89">
        <v>2282524</v>
      </c>
      <c r="BO89">
        <v>57676527</v>
      </c>
      <c r="BP89">
        <v>62384458</v>
      </c>
      <c r="BQ89">
        <v>415377</v>
      </c>
      <c r="BR89">
        <v>13895287</v>
      </c>
      <c r="BS89" s="180">
        <v>2812729</v>
      </c>
      <c r="BT89" s="180">
        <v>15499016</v>
      </c>
      <c r="BU89" s="180">
        <v>396900</v>
      </c>
      <c r="BV89" s="180">
        <v>749209</v>
      </c>
      <c r="BW89" s="180">
        <v>5713294</v>
      </c>
      <c r="BX89" s="180">
        <v>4302545</v>
      </c>
      <c r="BY89" s="180">
        <v>42465752</v>
      </c>
      <c r="BZ89" s="180">
        <v>570170</v>
      </c>
      <c r="CA89" s="180">
        <v>9753426</v>
      </c>
      <c r="CB89" s="180">
        <v>1197944</v>
      </c>
      <c r="CC89" s="180">
        <v>3711770</v>
      </c>
      <c r="CD89" s="180">
        <v>88146614</v>
      </c>
      <c r="CE89" s="180"/>
      <c r="CF89" s="180"/>
      <c r="CG89" s="180"/>
      <c r="CH89" s="180"/>
      <c r="CI89" s="180"/>
      <c r="CJ89" s="180"/>
      <c r="CK89" s="180"/>
      <c r="CL89" s="180"/>
      <c r="CM89" s="180"/>
      <c r="CN89" s="180"/>
      <c r="CO89" s="180"/>
      <c r="CP89" s="180"/>
      <c r="CQ89" s="180"/>
      <c r="CR89" s="180"/>
      <c r="CS89" s="180"/>
      <c r="CT89" s="180"/>
      <c r="CU89" s="180"/>
    </row>
    <row r="90" spans="1:99" x14ac:dyDescent="0.3">
      <c r="A90">
        <v>380</v>
      </c>
      <c r="B90" t="s">
        <v>113</v>
      </c>
      <c r="E90">
        <v>229402</v>
      </c>
      <c r="F90">
        <v>1000</v>
      </c>
      <c r="G90">
        <v>962</v>
      </c>
      <c r="H90">
        <v>181884</v>
      </c>
      <c r="I90">
        <v>0</v>
      </c>
      <c r="J90">
        <v>22</v>
      </c>
      <c r="K90">
        <v>1116</v>
      </c>
      <c r="L90">
        <v>157705</v>
      </c>
      <c r="M90">
        <v>10691958</v>
      </c>
      <c r="N90">
        <v>0</v>
      </c>
      <c r="O90">
        <v>22574</v>
      </c>
      <c r="P90">
        <v>1129</v>
      </c>
      <c r="Q90">
        <v>56617</v>
      </c>
      <c r="R90">
        <v>3426</v>
      </c>
      <c r="S90">
        <v>31716</v>
      </c>
      <c r="T90">
        <v>3379</v>
      </c>
      <c r="U90">
        <v>8808</v>
      </c>
      <c r="V90">
        <v>96158</v>
      </c>
      <c r="W90">
        <v>0</v>
      </c>
      <c r="X90">
        <v>7781</v>
      </c>
      <c r="Y90">
        <v>63057</v>
      </c>
      <c r="Z90">
        <v>100429</v>
      </c>
      <c r="AA90">
        <v>0</v>
      </c>
      <c r="AB90">
        <v>26114</v>
      </c>
      <c r="AC90">
        <v>57750</v>
      </c>
      <c r="AD90">
        <v>78775</v>
      </c>
      <c r="AF90">
        <v>4202974</v>
      </c>
      <c r="AG90">
        <v>854</v>
      </c>
      <c r="AH90">
        <v>7434</v>
      </c>
      <c r="AI90">
        <v>107122</v>
      </c>
      <c r="AJ90">
        <v>3401</v>
      </c>
      <c r="AK90">
        <v>1016</v>
      </c>
      <c r="AL90">
        <v>1254907</v>
      </c>
      <c r="AM90">
        <v>6752</v>
      </c>
      <c r="AN90">
        <v>263786</v>
      </c>
      <c r="AO90">
        <v>0</v>
      </c>
      <c r="AP90">
        <v>33673</v>
      </c>
      <c r="AQ90">
        <v>36888</v>
      </c>
      <c r="AR90">
        <v>3979</v>
      </c>
      <c r="AS90">
        <v>52229</v>
      </c>
      <c r="AT90">
        <v>28398</v>
      </c>
      <c r="AU90">
        <v>14254071</v>
      </c>
      <c r="AV90">
        <v>5446328</v>
      </c>
      <c r="AW90">
        <v>139200</v>
      </c>
      <c r="AX90">
        <v>2612</v>
      </c>
      <c r="AY90">
        <v>5367</v>
      </c>
      <c r="BA90">
        <v>0</v>
      </c>
      <c r="BB90">
        <v>409487</v>
      </c>
      <c r="BC90">
        <v>1416</v>
      </c>
      <c r="BD90">
        <v>0</v>
      </c>
      <c r="BE90">
        <v>1192</v>
      </c>
      <c r="BF90">
        <v>279798</v>
      </c>
      <c r="BG90">
        <v>0</v>
      </c>
      <c r="BH90">
        <v>504952</v>
      </c>
      <c r="BI90">
        <v>33864</v>
      </c>
      <c r="BJ90">
        <v>1495</v>
      </c>
      <c r="BK90">
        <v>0</v>
      </c>
      <c r="BL90">
        <v>475239</v>
      </c>
      <c r="BM90">
        <v>237973</v>
      </c>
      <c r="BN90">
        <v>78419</v>
      </c>
      <c r="BO90">
        <v>829839</v>
      </c>
      <c r="BP90">
        <v>6903269</v>
      </c>
      <c r="BQ90">
        <v>12182</v>
      </c>
      <c r="BR90">
        <v>8761524</v>
      </c>
      <c r="BS90" s="180">
        <v>1334</v>
      </c>
      <c r="BT90" s="180">
        <v>94606</v>
      </c>
      <c r="BU90" s="180">
        <v>20803</v>
      </c>
      <c r="BV90" s="180">
        <v>14810</v>
      </c>
      <c r="BW90" s="180">
        <v>80219</v>
      </c>
      <c r="BX90" s="180">
        <v>0</v>
      </c>
      <c r="BY90" s="180">
        <v>0</v>
      </c>
      <c r="BZ90" s="180">
        <v>1936</v>
      </c>
      <c r="CA90" s="180">
        <v>77835</v>
      </c>
      <c r="CB90" s="180">
        <v>9682</v>
      </c>
      <c r="CC90" s="180">
        <v>394792</v>
      </c>
      <c r="CD90" s="180">
        <v>2396801</v>
      </c>
      <c r="CE90" s="180"/>
      <c r="CF90" s="180"/>
      <c r="CG90" s="180"/>
      <c r="CH90" s="180"/>
      <c r="CI90" s="180"/>
      <c r="CJ90" s="180"/>
      <c r="CK90" s="180"/>
      <c r="CL90" s="180"/>
      <c r="CM90" s="180"/>
      <c r="CN90" s="180"/>
      <c r="CO90" s="180"/>
      <c r="CP90" s="180"/>
      <c r="CQ90" s="180"/>
      <c r="CR90" s="180"/>
      <c r="CS90" s="180"/>
      <c r="CT90" s="180"/>
      <c r="CU90" s="180"/>
    </row>
    <row r="91" spans="1:99" x14ac:dyDescent="0.3">
      <c r="A91">
        <v>381</v>
      </c>
      <c r="B91" t="s">
        <v>105</v>
      </c>
      <c r="E91">
        <v>9909304</v>
      </c>
      <c r="F91">
        <v>0</v>
      </c>
      <c r="G91">
        <v>9723583</v>
      </c>
      <c r="H91">
        <v>5371199</v>
      </c>
      <c r="I91">
        <v>436613</v>
      </c>
      <c r="J91">
        <v>0</v>
      </c>
      <c r="K91">
        <v>6155916</v>
      </c>
      <c r="L91">
        <v>44417822</v>
      </c>
      <c r="M91">
        <v>0</v>
      </c>
      <c r="N91">
        <v>0</v>
      </c>
      <c r="O91">
        <v>0</v>
      </c>
      <c r="P91">
        <v>3510620</v>
      </c>
      <c r="Q91">
        <v>53287212</v>
      </c>
      <c r="R91">
        <v>0</v>
      </c>
      <c r="S91">
        <v>4329838</v>
      </c>
      <c r="T91">
        <v>5534264</v>
      </c>
      <c r="U91">
        <v>2176499</v>
      </c>
      <c r="V91">
        <v>34483724</v>
      </c>
      <c r="W91">
        <v>0</v>
      </c>
      <c r="X91">
        <v>5061767</v>
      </c>
      <c r="Y91">
        <v>10466424</v>
      </c>
      <c r="Z91">
        <v>193989477</v>
      </c>
      <c r="AA91">
        <v>2938826</v>
      </c>
      <c r="AB91">
        <v>4149993</v>
      </c>
      <c r="AC91">
        <v>0</v>
      </c>
      <c r="AD91">
        <v>0</v>
      </c>
      <c r="AF91">
        <v>305428496</v>
      </c>
      <c r="AG91">
        <v>0</v>
      </c>
      <c r="AH91">
        <v>826419</v>
      </c>
      <c r="AI91">
        <v>9439159</v>
      </c>
      <c r="AJ91">
        <v>1356580</v>
      </c>
      <c r="AK91">
        <v>2171055</v>
      </c>
      <c r="AL91">
        <v>100364724</v>
      </c>
      <c r="AM91">
        <v>8675574</v>
      </c>
      <c r="AN91">
        <v>78897494</v>
      </c>
      <c r="AO91">
        <v>0</v>
      </c>
      <c r="AP91">
        <v>17721281</v>
      </c>
      <c r="AQ91">
        <v>0</v>
      </c>
      <c r="AR91">
        <v>0</v>
      </c>
      <c r="AS91">
        <v>7811044</v>
      </c>
      <c r="AT91">
        <v>4714315</v>
      </c>
      <c r="AU91">
        <v>1109368045</v>
      </c>
      <c r="AV91">
        <v>385262637</v>
      </c>
      <c r="AW91">
        <v>5860934</v>
      </c>
      <c r="AX91">
        <v>2380735</v>
      </c>
      <c r="AY91">
        <v>2005916</v>
      </c>
      <c r="BA91">
        <v>3036389</v>
      </c>
      <c r="BB91">
        <v>9329396</v>
      </c>
      <c r="BC91">
        <v>3256531</v>
      </c>
      <c r="BD91">
        <v>0</v>
      </c>
      <c r="BE91">
        <v>838021</v>
      </c>
      <c r="BF91">
        <v>51254414</v>
      </c>
      <c r="BG91">
        <v>0</v>
      </c>
      <c r="BH91">
        <v>36045664</v>
      </c>
      <c r="BI91">
        <v>5285461</v>
      </c>
      <c r="BJ91">
        <v>0</v>
      </c>
      <c r="BK91">
        <v>0</v>
      </c>
      <c r="BL91">
        <v>134343210</v>
      </c>
      <c r="BM91">
        <v>150812369</v>
      </c>
      <c r="BN91">
        <v>12004284</v>
      </c>
      <c r="BO91">
        <v>179938904</v>
      </c>
      <c r="BP91">
        <v>430099448</v>
      </c>
      <c r="BQ91">
        <v>7338177</v>
      </c>
      <c r="BR91">
        <v>29019786</v>
      </c>
      <c r="BS91" s="180">
        <v>0</v>
      </c>
      <c r="BT91" s="180">
        <v>86333245</v>
      </c>
      <c r="BU91" s="180">
        <v>2596678</v>
      </c>
      <c r="BV91" s="180">
        <v>3200815</v>
      </c>
      <c r="BW91" s="180">
        <v>24303011</v>
      </c>
      <c r="BX91" s="180">
        <v>0</v>
      </c>
      <c r="BY91" s="180">
        <v>206569793</v>
      </c>
      <c r="BZ91" s="180">
        <v>3835657</v>
      </c>
      <c r="CA91" s="180">
        <v>0</v>
      </c>
      <c r="CB91" s="180">
        <v>2129622</v>
      </c>
      <c r="CC91" s="180">
        <v>0</v>
      </c>
      <c r="CD91" s="180">
        <v>0</v>
      </c>
      <c r="CE91" s="180"/>
      <c r="CF91" s="180"/>
      <c r="CG91" s="180"/>
      <c r="CH91" s="180"/>
      <c r="CI91" s="180"/>
      <c r="CJ91" s="180"/>
      <c r="CK91" s="180"/>
      <c r="CL91" s="180"/>
      <c r="CM91" s="180"/>
      <c r="CN91" s="180"/>
      <c r="CO91" s="180"/>
      <c r="CP91" s="180"/>
      <c r="CQ91" s="180"/>
      <c r="CR91" s="180"/>
      <c r="CS91" s="180"/>
      <c r="CT91" s="180"/>
      <c r="CU91" s="180"/>
    </row>
    <row r="92" spans="1:99" x14ac:dyDescent="0.3">
      <c r="A92">
        <v>382</v>
      </c>
      <c r="B92" s="551" t="s">
        <v>106</v>
      </c>
      <c r="E92">
        <v>0</v>
      </c>
      <c r="F92">
        <v>0</v>
      </c>
      <c r="G92">
        <v>0</v>
      </c>
      <c r="H92">
        <v>0</v>
      </c>
      <c r="I92">
        <v>0</v>
      </c>
      <c r="J92">
        <v>0</v>
      </c>
      <c r="K92">
        <v>0</v>
      </c>
      <c r="L92">
        <v>6026103</v>
      </c>
      <c r="M92" s="551">
        <v>0</v>
      </c>
      <c r="N92">
        <v>0</v>
      </c>
      <c r="O92">
        <v>0</v>
      </c>
      <c r="P92">
        <v>0</v>
      </c>
      <c r="Q92">
        <v>9407721</v>
      </c>
      <c r="R92">
        <v>0</v>
      </c>
      <c r="S92">
        <v>1226054</v>
      </c>
      <c r="T92">
        <v>0</v>
      </c>
      <c r="U92">
        <v>0</v>
      </c>
      <c r="V92">
        <v>0</v>
      </c>
      <c r="W92">
        <v>0</v>
      </c>
      <c r="X92">
        <v>0</v>
      </c>
      <c r="Y92">
        <v>1041151</v>
      </c>
      <c r="Z92">
        <v>0</v>
      </c>
      <c r="AA92">
        <v>0</v>
      </c>
      <c r="AB92">
        <v>0</v>
      </c>
      <c r="AC92">
        <v>0</v>
      </c>
      <c r="AD92">
        <v>0</v>
      </c>
      <c r="AF92">
        <v>133095764</v>
      </c>
      <c r="AG92">
        <v>0</v>
      </c>
      <c r="AH92">
        <v>0</v>
      </c>
      <c r="AI92">
        <v>0</v>
      </c>
      <c r="AJ92">
        <v>0</v>
      </c>
      <c r="AK92">
        <v>0</v>
      </c>
      <c r="AL92">
        <v>0</v>
      </c>
      <c r="AM92">
        <v>0</v>
      </c>
      <c r="AN92">
        <v>0</v>
      </c>
      <c r="AO92">
        <v>0</v>
      </c>
      <c r="AP92">
        <v>12090159</v>
      </c>
      <c r="AQ92">
        <v>0</v>
      </c>
      <c r="AR92">
        <v>0</v>
      </c>
      <c r="AS92">
        <v>0</v>
      </c>
      <c r="AT92">
        <v>0</v>
      </c>
      <c r="AU92">
        <v>0</v>
      </c>
      <c r="AV92">
        <v>287470948</v>
      </c>
      <c r="AW92">
        <v>0</v>
      </c>
      <c r="AX92">
        <v>0</v>
      </c>
      <c r="AY92">
        <v>0</v>
      </c>
      <c r="BA92">
        <v>746046</v>
      </c>
      <c r="BB92">
        <v>0</v>
      </c>
      <c r="BC92">
        <v>0</v>
      </c>
      <c r="BD92">
        <v>0</v>
      </c>
      <c r="BE92">
        <v>0</v>
      </c>
      <c r="BF92">
        <v>0</v>
      </c>
      <c r="BG92">
        <v>0</v>
      </c>
      <c r="BH92">
        <v>0</v>
      </c>
      <c r="BI92">
        <v>0</v>
      </c>
      <c r="BJ92">
        <v>0</v>
      </c>
      <c r="BK92">
        <v>0</v>
      </c>
      <c r="BL92">
        <v>0</v>
      </c>
      <c r="BM92">
        <v>0</v>
      </c>
      <c r="BN92">
        <v>2240630</v>
      </c>
      <c r="BO92">
        <v>0</v>
      </c>
      <c r="BP92">
        <v>203917073</v>
      </c>
      <c r="BQ92">
        <v>0</v>
      </c>
      <c r="BR92">
        <v>11789114</v>
      </c>
      <c r="BS92" s="180">
        <v>0</v>
      </c>
      <c r="BT92" s="180">
        <v>0</v>
      </c>
      <c r="BU92" s="180">
        <v>537451</v>
      </c>
      <c r="BV92" s="180">
        <v>0</v>
      </c>
      <c r="BW92" s="180">
        <v>0</v>
      </c>
      <c r="BX92" s="180">
        <v>0</v>
      </c>
      <c r="BY92" s="180">
        <v>0</v>
      </c>
      <c r="BZ92" s="180">
        <v>971210</v>
      </c>
      <c r="CA92" s="180">
        <v>0</v>
      </c>
      <c r="CB92" s="180">
        <v>0</v>
      </c>
      <c r="CC92" s="180">
        <v>0</v>
      </c>
      <c r="CD92" s="180">
        <v>39290238</v>
      </c>
      <c r="CE92" s="180"/>
      <c r="CF92" s="180"/>
      <c r="CG92" s="180"/>
      <c r="CH92" s="180"/>
      <c r="CI92" s="180"/>
      <c r="CJ92" s="180"/>
      <c r="CK92" s="180"/>
      <c r="CL92" s="180"/>
      <c r="CM92" s="180"/>
      <c r="CN92" s="180"/>
      <c r="CO92" s="180"/>
      <c r="CP92" s="180"/>
      <c r="CQ92" s="180"/>
      <c r="CR92" s="180"/>
      <c r="CS92" s="180"/>
      <c r="CT92" s="180"/>
      <c r="CU92" s="180"/>
    </row>
    <row r="93" spans="1:99" x14ac:dyDescent="0.3">
      <c r="A93">
        <v>383</v>
      </c>
      <c r="B93" t="s">
        <v>212</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F93">
        <v>56482</v>
      </c>
      <c r="AG93">
        <v>0</v>
      </c>
      <c r="AH93">
        <v>0</v>
      </c>
      <c r="AI93">
        <v>0</v>
      </c>
      <c r="AJ93">
        <v>0</v>
      </c>
      <c r="AK93">
        <v>0</v>
      </c>
      <c r="AL93">
        <v>43643</v>
      </c>
      <c r="AM93">
        <v>0</v>
      </c>
      <c r="AN93">
        <v>0</v>
      </c>
      <c r="AO93">
        <v>0</v>
      </c>
      <c r="AP93">
        <v>0</v>
      </c>
      <c r="AQ93">
        <v>0</v>
      </c>
      <c r="AR93">
        <v>0</v>
      </c>
      <c r="AS93">
        <v>0</v>
      </c>
      <c r="AT93">
        <v>0</v>
      </c>
      <c r="AU93">
        <v>0</v>
      </c>
      <c r="AV93">
        <v>0</v>
      </c>
      <c r="AW93">
        <v>0</v>
      </c>
      <c r="AX93">
        <v>0</v>
      </c>
      <c r="AY93">
        <v>0</v>
      </c>
      <c r="BA93">
        <v>0</v>
      </c>
      <c r="BB93">
        <v>0</v>
      </c>
      <c r="BC93">
        <v>0</v>
      </c>
      <c r="BD93">
        <v>0</v>
      </c>
      <c r="BE93">
        <v>0</v>
      </c>
      <c r="BF93">
        <v>0</v>
      </c>
      <c r="BG93">
        <v>0</v>
      </c>
      <c r="BH93">
        <v>0</v>
      </c>
      <c r="BI93">
        <v>0</v>
      </c>
      <c r="BJ93">
        <v>0</v>
      </c>
      <c r="BK93">
        <v>0</v>
      </c>
      <c r="BL93">
        <v>0</v>
      </c>
      <c r="BM93">
        <v>0</v>
      </c>
      <c r="BN93">
        <v>0</v>
      </c>
      <c r="BO93">
        <v>163794</v>
      </c>
      <c r="BP93">
        <v>0</v>
      </c>
      <c r="BQ93">
        <v>0</v>
      </c>
      <c r="BR93">
        <v>0</v>
      </c>
      <c r="BS93" s="180">
        <v>0</v>
      </c>
      <c r="BT93" s="180">
        <v>2071265</v>
      </c>
      <c r="BU93" s="180">
        <v>0</v>
      </c>
      <c r="BV93" s="180">
        <v>0</v>
      </c>
      <c r="BW93" s="180">
        <v>0</v>
      </c>
      <c r="BX93" s="180">
        <v>0</v>
      </c>
      <c r="BY93" s="180">
        <v>0</v>
      </c>
      <c r="BZ93" s="180">
        <v>0</v>
      </c>
      <c r="CA93" s="180">
        <v>0</v>
      </c>
      <c r="CB93" s="180">
        <v>0</v>
      </c>
      <c r="CC93" s="180">
        <v>0</v>
      </c>
      <c r="CD93" s="180">
        <v>0</v>
      </c>
      <c r="CE93" s="180"/>
      <c r="CF93" s="180"/>
      <c r="CG93" s="180"/>
      <c r="CH93" s="180"/>
      <c r="CI93" s="180"/>
      <c r="CJ93" s="180"/>
      <c r="CK93" s="180"/>
      <c r="CL93" s="180"/>
      <c r="CM93" s="180"/>
      <c r="CN93" s="180"/>
      <c r="CO93" s="180"/>
      <c r="CP93" s="180"/>
      <c r="CQ93" s="180"/>
      <c r="CR93" s="180"/>
      <c r="CS93" s="180"/>
      <c r="CT93" s="180"/>
      <c r="CU93" s="180"/>
    </row>
    <row r="94" spans="1:99" x14ac:dyDescent="0.3">
      <c r="A94">
        <v>384</v>
      </c>
      <c r="B94" s="551" t="s">
        <v>116</v>
      </c>
      <c r="E94">
        <v>0</v>
      </c>
      <c r="F94">
        <v>0</v>
      </c>
      <c r="G94">
        <v>0</v>
      </c>
      <c r="H94">
        <v>0</v>
      </c>
      <c r="I94">
        <v>0</v>
      </c>
      <c r="J94">
        <v>0</v>
      </c>
      <c r="K94">
        <v>0</v>
      </c>
      <c r="L94">
        <v>0</v>
      </c>
      <c r="M94" s="551">
        <v>0</v>
      </c>
      <c r="N94">
        <v>0</v>
      </c>
      <c r="O94">
        <v>0</v>
      </c>
      <c r="P94">
        <v>0</v>
      </c>
      <c r="Q94">
        <v>0</v>
      </c>
      <c r="R94">
        <v>0</v>
      </c>
      <c r="S94">
        <v>0</v>
      </c>
      <c r="T94">
        <v>0</v>
      </c>
      <c r="U94">
        <v>0</v>
      </c>
      <c r="V94">
        <v>0</v>
      </c>
      <c r="W94">
        <v>0</v>
      </c>
      <c r="X94">
        <v>0</v>
      </c>
      <c r="Y94">
        <v>0</v>
      </c>
      <c r="Z94">
        <v>0</v>
      </c>
      <c r="AA94">
        <v>0</v>
      </c>
      <c r="AB94">
        <v>0</v>
      </c>
      <c r="AC94">
        <v>0</v>
      </c>
      <c r="AD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BA94">
        <v>0</v>
      </c>
      <c r="BB94">
        <v>0</v>
      </c>
      <c r="BC94">
        <v>0</v>
      </c>
      <c r="BD94">
        <v>0</v>
      </c>
      <c r="BE94">
        <v>0</v>
      </c>
      <c r="BF94">
        <v>0</v>
      </c>
      <c r="BG94">
        <v>0</v>
      </c>
      <c r="BH94">
        <v>0</v>
      </c>
      <c r="BI94">
        <v>0</v>
      </c>
      <c r="BJ94">
        <v>0</v>
      </c>
      <c r="BK94">
        <v>0</v>
      </c>
      <c r="BL94">
        <v>0</v>
      </c>
      <c r="BM94">
        <v>0</v>
      </c>
      <c r="BN94">
        <v>0</v>
      </c>
      <c r="BO94">
        <v>0</v>
      </c>
      <c r="BP94">
        <v>0</v>
      </c>
      <c r="BQ94">
        <v>0</v>
      </c>
      <c r="BR94">
        <v>0</v>
      </c>
      <c r="BS94" s="180">
        <v>0</v>
      </c>
      <c r="BT94" s="180">
        <v>0</v>
      </c>
      <c r="BU94" s="180">
        <v>0</v>
      </c>
      <c r="BV94" s="180">
        <v>0</v>
      </c>
      <c r="BW94" s="180">
        <v>0</v>
      </c>
      <c r="BX94" s="180">
        <v>0</v>
      </c>
      <c r="BY94" s="180">
        <v>0</v>
      </c>
      <c r="BZ94" s="180">
        <v>0</v>
      </c>
      <c r="CA94" s="180">
        <v>0</v>
      </c>
      <c r="CB94" s="180">
        <v>0</v>
      </c>
      <c r="CC94" s="180">
        <v>0</v>
      </c>
      <c r="CD94" s="180">
        <v>0</v>
      </c>
      <c r="CE94" s="180"/>
      <c r="CF94" s="180"/>
      <c r="CG94" s="180"/>
      <c r="CH94" s="180"/>
      <c r="CI94" s="180"/>
      <c r="CJ94" s="180"/>
      <c r="CK94" s="180"/>
      <c r="CL94" s="180"/>
      <c r="CM94" s="180"/>
      <c r="CN94" s="180"/>
      <c r="CO94" s="180"/>
      <c r="CP94" s="180"/>
      <c r="CQ94" s="180"/>
      <c r="CR94" s="180"/>
      <c r="CS94" s="180"/>
      <c r="CT94" s="180"/>
      <c r="CU94" s="180"/>
    </row>
    <row r="95" spans="1:99" x14ac:dyDescent="0.3">
      <c r="A95">
        <v>385</v>
      </c>
      <c r="B95" t="s">
        <v>107</v>
      </c>
      <c r="E95">
        <v>4769208</v>
      </c>
      <c r="F95">
        <v>2809872</v>
      </c>
      <c r="G95">
        <v>2229937</v>
      </c>
      <c r="H95">
        <v>2180867</v>
      </c>
      <c r="I95">
        <v>887358</v>
      </c>
      <c r="J95">
        <v>194230</v>
      </c>
      <c r="K95">
        <v>841218</v>
      </c>
      <c r="L95">
        <v>19658743</v>
      </c>
      <c r="M95">
        <v>755227114</v>
      </c>
      <c r="N95">
        <v>8245579</v>
      </c>
      <c r="O95">
        <v>32730017</v>
      </c>
      <c r="P95">
        <v>978467</v>
      </c>
      <c r="Q95">
        <v>42460523</v>
      </c>
      <c r="R95">
        <v>430098</v>
      </c>
      <c r="S95">
        <v>1244214</v>
      </c>
      <c r="T95">
        <v>5505118</v>
      </c>
      <c r="U95">
        <v>4375638</v>
      </c>
      <c r="V95">
        <v>17960949</v>
      </c>
      <c r="W95">
        <v>4528287</v>
      </c>
      <c r="X95">
        <v>2118430</v>
      </c>
      <c r="Y95">
        <v>1946645</v>
      </c>
      <c r="Z95">
        <v>325203326</v>
      </c>
      <c r="AA95">
        <v>10881897</v>
      </c>
      <c r="AB95">
        <v>1906549</v>
      </c>
      <c r="AC95">
        <v>188584211</v>
      </c>
      <c r="AD95">
        <v>3365049</v>
      </c>
      <c r="AF95">
        <v>347780542</v>
      </c>
      <c r="AG95">
        <v>1506487</v>
      </c>
      <c r="AH95">
        <v>746315</v>
      </c>
      <c r="AI95">
        <v>16221347</v>
      </c>
      <c r="AJ95">
        <v>2723495</v>
      </c>
      <c r="AK95">
        <v>858435</v>
      </c>
      <c r="AL95">
        <v>128817324</v>
      </c>
      <c r="AM95">
        <v>1550706</v>
      </c>
      <c r="AN95">
        <v>49717065</v>
      </c>
      <c r="AO95">
        <v>181220</v>
      </c>
      <c r="AP95">
        <v>14567807</v>
      </c>
      <c r="AQ95">
        <v>8216404</v>
      </c>
      <c r="AR95">
        <v>609340</v>
      </c>
      <c r="AS95">
        <v>6878456</v>
      </c>
      <c r="AT95">
        <v>1645298</v>
      </c>
      <c r="AU95">
        <v>1168749359</v>
      </c>
      <c r="AV95">
        <v>445297112</v>
      </c>
      <c r="AW95">
        <v>4876578</v>
      </c>
      <c r="AX95">
        <v>956859</v>
      </c>
      <c r="AY95">
        <v>876996</v>
      </c>
      <c r="BA95">
        <v>1510491</v>
      </c>
      <c r="BB95">
        <v>15955653</v>
      </c>
      <c r="BC95">
        <v>2092416</v>
      </c>
      <c r="BD95">
        <v>535677</v>
      </c>
      <c r="BE95">
        <v>213492</v>
      </c>
      <c r="BF95">
        <v>89162849</v>
      </c>
      <c r="BG95">
        <v>135456</v>
      </c>
      <c r="BH95">
        <v>42421766</v>
      </c>
      <c r="BI95">
        <v>9680585</v>
      </c>
      <c r="BJ95">
        <v>1361750</v>
      </c>
      <c r="BK95">
        <v>771950</v>
      </c>
      <c r="BL95">
        <v>43716516</v>
      </c>
      <c r="BM95">
        <v>90735898</v>
      </c>
      <c r="BN95">
        <v>4815360</v>
      </c>
      <c r="BO95">
        <v>293953189</v>
      </c>
      <c r="BP95">
        <v>461952991</v>
      </c>
      <c r="BQ95">
        <v>1382637</v>
      </c>
      <c r="BR95">
        <v>44741797</v>
      </c>
      <c r="BS95" s="180">
        <v>7198061</v>
      </c>
      <c r="BT95" s="180">
        <v>45010698</v>
      </c>
      <c r="BU95" s="180">
        <v>1893653</v>
      </c>
      <c r="BV95" s="180">
        <v>1607511</v>
      </c>
      <c r="BW95" s="180">
        <v>27583534</v>
      </c>
      <c r="BX95" s="180">
        <v>9950377</v>
      </c>
      <c r="BY95" s="180">
        <v>299567961</v>
      </c>
      <c r="BZ95" s="180">
        <v>1686053</v>
      </c>
      <c r="CA95" s="180">
        <v>62237993</v>
      </c>
      <c r="CB95" s="180">
        <v>1905935</v>
      </c>
      <c r="CC95" s="180">
        <v>9866075</v>
      </c>
      <c r="CD95" s="180">
        <v>248319453</v>
      </c>
      <c r="CE95" s="180"/>
      <c r="CF95" s="180"/>
      <c r="CG95" s="180"/>
      <c r="CH95" s="180"/>
      <c r="CI95" s="180"/>
      <c r="CJ95" s="180"/>
      <c r="CK95" s="180"/>
      <c r="CL95" s="180"/>
      <c r="CM95" s="180"/>
      <c r="CN95" s="180"/>
      <c r="CO95" s="180"/>
      <c r="CP95" s="180"/>
      <c r="CQ95" s="180"/>
      <c r="CR95" s="180"/>
      <c r="CS95" s="180"/>
      <c r="CT95" s="180"/>
      <c r="CU95" s="180"/>
    </row>
    <row r="96" spans="1:99" x14ac:dyDescent="0.3">
      <c r="A96">
        <v>386</v>
      </c>
      <c r="B96" t="s">
        <v>185</v>
      </c>
      <c r="E96">
        <v>0</v>
      </c>
      <c r="F96">
        <v>114586</v>
      </c>
      <c r="G96">
        <v>0</v>
      </c>
      <c r="H96">
        <v>0</v>
      </c>
      <c r="I96">
        <v>1799</v>
      </c>
      <c r="J96">
        <v>0</v>
      </c>
      <c r="K96">
        <v>0</v>
      </c>
      <c r="L96">
        <v>445412</v>
      </c>
      <c r="M96">
        <v>0</v>
      </c>
      <c r="N96">
        <v>0</v>
      </c>
      <c r="O96">
        <v>0</v>
      </c>
      <c r="P96">
        <v>0</v>
      </c>
      <c r="Q96">
        <v>0</v>
      </c>
      <c r="R96">
        <v>0</v>
      </c>
      <c r="S96">
        <v>0</v>
      </c>
      <c r="T96">
        <v>0</v>
      </c>
      <c r="U96">
        <v>0</v>
      </c>
      <c r="V96">
        <v>40402</v>
      </c>
      <c r="W96">
        <v>0</v>
      </c>
      <c r="X96">
        <v>0</v>
      </c>
      <c r="Y96">
        <v>0</v>
      </c>
      <c r="Z96">
        <v>0</v>
      </c>
      <c r="AA96">
        <v>0</v>
      </c>
      <c r="AB96">
        <v>0</v>
      </c>
      <c r="AC96">
        <v>0</v>
      </c>
      <c r="AD96">
        <v>0</v>
      </c>
      <c r="AF96">
        <v>4907305</v>
      </c>
      <c r="AG96">
        <v>0</v>
      </c>
      <c r="AH96">
        <v>0</v>
      </c>
      <c r="AI96">
        <v>0</v>
      </c>
      <c r="AJ96">
        <v>0</v>
      </c>
      <c r="AK96">
        <v>1150</v>
      </c>
      <c r="AL96">
        <v>0</v>
      </c>
      <c r="AM96">
        <v>0</v>
      </c>
      <c r="AN96">
        <v>0</v>
      </c>
      <c r="AO96">
        <v>0</v>
      </c>
      <c r="AP96">
        <v>0</v>
      </c>
      <c r="AQ96">
        <v>0</v>
      </c>
      <c r="AR96">
        <v>0</v>
      </c>
      <c r="AS96">
        <v>0</v>
      </c>
      <c r="AT96">
        <v>0</v>
      </c>
      <c r="AU96">
        <v>165039148</v>
      </c>
      <c r="AV96">
        <v>7728320</v>
      </c>
      <c r="AW96">
        <v>0</v>
      </c>
      <c r="AX96">
        <v>0</v>
      </c>
      <c r="AY96">
        <v>0</v>
      </c>
      <c r="BA96">
        <v>0</v>
      </c>
      <c r="BB96">
        <v>0</v>
      </c>
      <c r="BC96">
        <v>0</v>
      </c>
      <c r="BD96">
        <v>0</v>
      </c>
      <c r="BE96">
        <v>0</v>
      </c>
      <c r="BF96">
        <v>0</v>
      </c>
      <c r="BG96">
        <v>0</v>
      </c>
      <c r="BH96">
        <v>0</v>
      </c>
      <c r="BI96">
        <v>0</v>
      </c>
      <c r="BJ96">
        <v>0</v>
      </c>
      <c r="BK96">
        <v>0</v>
      </c>
      <c r="BL96">
        <v>1382388</v>
      </c>
      <c r="BM96">
        <v>3765747</v>
      </c>
      <c r="BN96">
        <v>0</v>
      </c>
      <c r="BO96">
        <v>620902</v>
      </c>
      <c r="BP96">
        <v>1069088</v>
      </c>
      <c r="BQ96">
        <v>0</v>
      </c>
      <c r="BR96">
        <v>0</v>
      </c>
      <c r="BS96" s="180">
        <v>0</v>
      </c>
      <c r="BT96" s="180">
        <v>0</v>
      </c>
      <c r="BU96" s="180">
        <v>7000</v>
      </c>
      <c r="BV96" s="180">
        <v>0</v>
      </c>
      <c r="BW96" s="180">
        <v>0</v>
      </c>
      <c r="BX96" s="180">
        <v>0</v>
      </c>
      <c r="BY96" s="180">
        <v>372845</v>
      </c>
      <c r="BZ96" s="180">
        <v>22000</v>
      </c>
      <c r="CA96" s="180">
        <v>0</v>
      </c>
      <c r="CB96" s="180">
        <v>0</v>
      </c>
      <c r="CC96" s="180">
        <v>0</v>
      </c>
      <c r="CD96" s="180">
        <v>0</v>
      </c>
      <c r="CE96" s="180"/>
      <c r="CF96" s="180"/>
      <c r="CG96" s="180"/>
      <c r="CH96" s="180"/>
      <c r="CI96" s="180"/>
      <c r="CJ96" s="180"/>
      <c r="CK96" s="180"/>
      <c r="CL96" s="180"/>
      <c r="CM96" s="180"/>
      <c r="CN96" s="180"/>
      <c r="CO96" s="180"/>
      <c r="CP96" s="180"/>
      <c r="CQ96" s="180"/>
      <c r="CR96" s="180"/>
      <c r="CS96" s="180"/>
      <c r="CT96" s="180"/>
      <c r="CU96" s="180"/>
    </row>
    <row r="97" spans="1:99" x14ac:dyDescent="0.3">
      <c r="A97">
        <v>387</v>
      </c>
      <c r="B97" t="s">
        <v>186</v>
      </c>
      <c r="E97">
        <v>0</v>
      </c>
      <c r="F97">
        <v>114586</v>
      </c>
      <c r="G97">
        <v>304746</v>
      </c>
      <c r="H97">
        <v>89000</v>
      </c>
      <c r="I97">
        <v>0</v>
      </c>
      <c r="J97">
        <v>0</v>
      </c>
      <c r="K97">
        <v>15622</v>
      </c>
      <c r="L97">
        <v>0</v>
      </c>
      <c r="M97">
        <v>6930780</v>
      </c>
      <c r="N97">
        <v>0</v>
      </c>
      <c r="O97">
        <v>0</v>
      </c>
      <c r="P97">
        <v>0</v>
      </c>
      <c r="Q97">
        <v>0</v>
      </c>
      <c r="R97">
        <v>0</v>
      </c>
      <c r="S97">
        <v>85000</v>
      </c>
      <c r="T97">
        <v>452000</v>
      </c>
      <c r="U97">
        <v>0</v>
      </c>
      <c r="V97">
        <v>415702</v>
      </c>
      <c r="W97">
        <v>0</v>
      </c>
      <c r="X97">
        <v>0</v>
      </c>
      <c r="Y97">
        <v>33223</v>
      </c>
      <c r="Z97">
        <v>4776892</v>
      </c>
      <c r="AA97">
        <v>260552</v>
      </c>
      <c r="AB97">
        <v>0</v>
      </c>
      <c r="AC97">
        <v>0</v>
      </c>
      <c r="AD97">
        <v>0</v>
      </c>
      <c r="AF97">
        <v>5806623</v>
      </c>
      <c r="AG97">
        <v>0</v>
      </c>
      <c r="AH97">
        <v>9170</v>
      </c>
      <c r="AI97">
        <v>1667319</v>
      </c>
      <c r="AJ97">
        <v>0</v>
      </c>
      <c r="AK97">
        <v>0</v>
      </c>
      <c r="AL97">
        <v>0</v>
      </c>
      <c r="AM97">
        <v>0</v>
      </c>
      <c r="AN97">
        <v>113764</v>
      </c>
      <c r="AO97">
        <v>0</v>
      </c>
      <c r="AP97">
        <v>700000</v>
      </c>
      <c r="AQ97">
        <v>0</v>
      </c>
      <c r="AR97">
        <v>0</v>
      </c>
      <c r="AS97">
        <v>420645</v>
      </c>
      <c r="AT97">
        <v>0</v>
      </c>
      <c r="AU97">
        <v>176968895</v>
      </c>
      <c r="AV97">
        <v>0</v>
      </c>
      <c r="AW97">
        <v>27007</v>
      </c>
      <c r="AX97">
        <v>0</v>
      </c>
      <c r="AY97">
        <v>104290</v>
      </c>
      <c r="BA97">
        <v>0</v>
      </c>
      <c r="BB97">
        <v>0</v>
      </c>
      <c r="BC97">
        <v>94813</v>
      </c>
      <c r="BD97">
        <v>0</v>
      </c>
      <c r="BE97">
        <v>0</v>
      </c>
      <c r="BF97">
        <v>0</v>
      </c>
      <c r="BG97">
        <v>0</v>
      </c>
      <c r="BH97">
        <v>1081950</v>
      </c>
      <c r="BI97">
        <v>0</v>
      </c>
      <c r="BJ97">
        <v>0</v>
      </c>
      <c r="BK97">
        <v>0</v>
      </c>
      <c r="BL97">
        <v>0</v>
      </c>
      <c r="BM97">
        <v>0</v>
      </c>
      <c r="BN97">
        <v>0</v>
      </c>
      <c r="BO97">
        <v>0</v>
      </c>
      <c r="BP97">
        <v>0</v>
      </c>
      <c r="BQ97">
        <v>137135</v>
      </c>
      <c r="BR97">
        <v>15698</v>
      </c>
      <c r="BS97" s="180">
        <v>0</v>
      </c>
      <c r="BT97" s="180">
        <v>0</v>
      </c>
      <c r="BU97" s="180">
        <v>0</v>
      </c>
      <c r="BV97" s="180">
        <v>35000</v>
      </c>
      <c r="BW97" s="180">
        <v>0</v>
      </c>
      <c r="BX97" s="180">
        <v>0</v>
      </c>
      <c r="BY97" s="180">
        <v>0</v>
      </c>
      <c r="BZ97" s="180">
        <v>0</v>
      </c>
      <c r="CA97" s="180">
        <v>0</v>
      </c>
      <c r="CB97" s="180">
        <v>91944</v>
      </c>
      <c r="CC97" s="180">
        <v>0</v>
      </c>
      <c r="CD97" s="180">
        <v>0</v>
      </c>
      <c r="CE97" s="180"/>
      <c r="CF97" s="180"/>
      <c r="CG97" s="180"/>
      <c r="CH97" s="180"/>
      <c r="CI97" s="180"/>
      <c r="CJ97" s="180"/>
      <c r="CK97" s="180"/>
      <c r="CL97" s="180"/>
      <c r="CM97" s="180"/>
      <c r="CN97" s="180"/>
      <c r="CO97" s="180"/>
      <c r="CP97" s="180"/>
      <c r="CQ97" s="180"/>
      <c r="CR97" s="180"/>
      <c r="CS97" s="180"/>
      <c r="CT97" s="180"/>
      <c r="CU97" s="180"/>
    </row>
    <row r="98" spans="1:99" x14ac:dyDescent="0.3">
      <c r="A98">
        <v>388</v>
      </c>
      <c r="B98" t="s">
        <v>180</v>
      </c>
      <c r="E98">
        <v>2658001</v>
      </c>
      <c r="F98">
        <v>389728</v>
      </c>
      <c r="G98">
        <v>1045518</v>
      </c>
      <c r="H98">
        <v>572757</v>
      </c>
      <c r="I98">
        <v>92489</v>
      </c>
      <c r="J98">
        <v>62505</v>
      </c>
      <c r="K98">
        <v>105957</v>
      </c>
      <c r="L98">
        <v>6708026</v>
      </c>
      <c r="M98">
        <v>206431598</v>
      </c>
      <c r="N98">
        <v>3023070</v>
      </c>
      <c r="O98">
        <v>7831010</v>
      </c>
      <c r="P98">
        <v>166424</v>
      </c>
      <c r="Q98">
        <v>12729868</v>
      </c>
      <c r="R98">
        <v>93698</v>
      </c>
      <c r="S98">
        <v>294705</v>
      </c>
      <c r="T98">
        <v>2457138</v>
      </c>
      <c r="U98">
        <v>1178663</v>
      </c>
      <c r="V98">
        <v>5059180</v>
      </c>
      <c r="W98">
        <v>2650993</v>
      </c>
      <c r="X98">
        <v>837840</v>
      </c>
      <c r="Y98">
        <v>1462263</v>
      </c>
      <c r="Z98">
        <v>51569944</v>
      </c>
      <c r="AA98">
        <v>1781160</v>
      </c>
      <c r="AB98">
        <v>1027011</v>
      </c>
      <c r="AC98">
        <v>56535291</v>
      </c>
      <c r="AD98">
        <v>870480</v>
      </c>
      <c r="AF98">
        <v>95926963</v>
      </c>
      <c r="AG98">
        <v>185404</v>
      </c>
      <c r="AH98">
        <v>316789</v>
      </c>
      <c r="AI98">
        <v>9229668</v>
      </c>
      <c r="AJ98">
        <v>1079152</v>
      </c>
      <c r="AK98">
        <v>108409</v>
      </c>
      <c r="AL98">
        <v>43090321</v>
      </c>
      <c r="AM98">
        <v>207402</v>
      </c>
      <c r="AN98">
        <v>16925415</v>
      </c>
      <c r="AO98">
        <v>44301</v>
      </c>
      <c r="AP98">
        <v>5867747</v>
      </c>
      <c r="AQ98">
        <v>3090275</v>
      </c>
      <c r="AR98">
        <v>73411</v>
      </c>
      <c r="AS98">
        <v>1495067</v>
      </c>
      <c r="AT98">
        <v>684524</v>
      </c>
      <c r="AU98">
        <v>396918495</v>
      </c>
      <c r="AV98">
        <v>102853237</v>
      </c>
      <c r="AW98">
        <v>1915551</v>
      </c>
      <c r="AX98">
        <v>473889</v>
      </c>
      <c r="AY98">
        <v>476343</v>
      </c>
      <c r="BA98">
        <v>466431</v>
      </c>
      <c r="BB98">
        <v>7157666</v>
      </c>
      <c r="BC98">
        <v>465149</v>
      </c>
      <c r="BD98">
        <v>125266</v>
      </c>
      <c r="BE98">
        <v>46913</v>
      </c>
      <c r="BF98">
        <v>17002775</v>
      </c>
      <c r="BG98">
        <v>23940</v>
      </c>
      <c r="BH98">
        <v>14715114</v>
      </c>
      <c r="BI98">
        <v>2923447</v>
      </c>
      <c r="BJ98">
        <v>214512</v>
      </c>
      <c r="BK98">
        <v>76841</v>
      </c>
      <c r="BL98">
        <v>18839902</v>
      </c>
      <c r="BM98">
        <v>26607993</v>
      </c>
      <c r="BN98">
        <v>2289277</v>
      </c>
      <c r="BO98">
        <v>67975097</v>
      </c>
      <c r="BP98">
        <v>174414581</v>
      </c>
      <c r="BQ98">
        <v>1167626</v>
      </c>
      <c r="BR98">
        <v>6865292</v>
      </c>
      <c r="BS98" s="180">
        <v>1138340</v>
      </c>
      <c r="BT98" s="180">
        <v>12442313</v>
      </c>
      <c r="BU98" s="180">
        <v>230951</v>
      </c>
      <c r="BV98" s="180">
        <v>320040</v>
      </c>
      <c r="BW98" s="180">
        <v>7538843</v>
      </c>
      <c r="BX98" s="180">
        <v>4560234</v>
      </c>
      <c r="BY98" s="180">
        <v>52982079</v>
      </c>
      <c r="BZ98" s="180">
        <v>484225</v>
      </c>
      <c r="CA98" s="180">
        <v>18891756</v>
      </c>
      <c r="CB98" s="180">
        <v>481024</v>
      </c>
      <c r="CC98" s="180">
        <v>4840178</v>
      </c>
      <c r="CD98" s="180">
        <v>65166935</v>
      </c>
      <c r="CE98" s="180"/>
      <c r="CF98" s="180"/>
      <c r="CG98" s="180"/>
      <c r="CH98" s="180"/>
      <c r="CI98" s="180"/>
      <c r="CJ98" s="180"/>
      <c r="CK98" s="180"/>
      <c r="CL98" s="180"/>
      <c r="CM98" s="180"/>
      <c r="CN98" s="180"/>
      <c r="CO98" s="180"/>
      <c r="CP98" s="180"/>
      <c r="CQ98" s="180"/>
      <c r="CR98" s="180"/>
      <c r="CS98" s="180"/>
      <c r="CT98" s="180"/>
      <c r="CU98" s="180"/>
    </row>
    <row r="99" spans="1:99" x14ac:dyDescent="0.3">
      <c r="A99">
        <v>389</v>
      </c>
      <c r="B99" t="s">
        <v>187</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F99">
        <v>0</v>
      </c>
      <c r="AG99">
        <v>0</v>
      </c>
      <c r="AH99">
        <v>0</v>
      </c>
      <c r="AI99">
        <v>0</v>
      </c>
      <c r="AJ99">
        <v>0</v>
      </c>
      <c r="AK99">
        <v>0</v>
      </c>
      <c r="AL99">
        <v>0</v>
      </c>
      <c r="AM99">
        <v>0</v>
      </c>
      <c r="AN99">
        <v>0</v>
      </c>
      <c r="AO99">
        <v>0</v>
      </c>
      <c r="AP99">
        <v>0</v>
      </c>
      <c r="AQ99">
        <v>0</v>
      </c>
      <c r="AR99">
        <v>-1997812</v>
      </c>
      <c r="AS99">
        <v>0</v>
      </c>
      <c r="AT99">
        <v>0</v>
      </c>
      <c r="AU99">
        <v>0</v>
      </c>
      <c r="AV99">
        <v>0</v>
      </c>
      <c r="AW99">
        <v>0</v>
      </c>
      <c r="AX99">
        <v>0</v>
      </c>
      <c r="AY99">
        <v>0</v>
      </c>
      <c r="BA99">
        <v>0</v>
      </c>
      <c r="BB99">
        <v>0</v>
      </c>
      <c r="BC99">
        <v>0</v>
      </c>
      <c r="BD99">
        <v>0</v>
      </c>
      <c r="BE99">
        <v>0</v>
      </c>
      <c r="BF99">
        <v>0</v>
      </c>
      <c r="BG99">
        <v>0</v>
      </c>
      <c r="BH99">
        <v>0</v>
      </c>
      <c r="BI99">
        <v>0</v>
      </c>
      <c r="BJ99">
        <v>0</v>
      </c>
      <c r="BK99">
        <v>0</v>
      </c>
      <c r="BL99">
        <v>0</v>
      </c>
      <c r="BM99">
        <v>0</v>
      </c>
      <c r="BN99">
        <v>0</v>
      </c>
      <c r="BO99">
        <v>0</v>
      </c>
      <c r="BP99">
        <v>0</v>
      </c>
      <c r="BQ99">
        <v>0</v>
      </c>
      <c r="BR99">
        <v>0</v>
      </c>
      <c r="BS99" s="180">
        <v>0</v>
      </c>
      <c r="BT99" s="180">
        <v>0</v>
      </c>
      <c r="BU99" s="180">
        <v>0</v>
      </c>
      <c r="BV99" s="180">
        <v>0</v>
      </c>
      <c r="BW99" s="180">
        <v>0</v>
      </c>
      <c r="BX99" s="180">
        <v>0</v>
      </c>
      <c r="BY99" s="180">
        <v>0</v>
      </c>
      <c r="BZ99" s="180">
        <v>0</v>
      </c>
      <c r="CA99" s="180">
        <v>0</v>
      </c>
      <c r="CB99" s="180">
        <v>0</v>
      </c>
      <c r="CC99" s="180">
        <v>0</v>
      </c>
      <c r="CD99" s="180">
        <v>0</v>
      </c>
      <c r="CE99" s="180"/>
      <c r="CF99" s="180"/>
      <c r="CG99" s="180"/>
      <c r="CH99" s="180"/>
      <c r="CI99" s="180"/>
      <c r="CJ99" s="180"/>
      <c r="CK99" s="180"/>
      <c r="CL99" s="180"/>
      <c r="CM99" s="180"/>
      <c r="CN99" s="180"/>
      <c r="CO99" s="180"/>
      <c r="CP99" s="180"/>
      <c r="CQ99" s="180"/>
      <c r="CR99" s="180"/>
      <c r="CS99" s="180"/>
      <c r="CT99" s="180"/>
      <c r="CU99" s="180"/>
    </row>
    <row r="100" spans="1:99" x14ac:dyDescent="0.3">
      <c r="A100">
        <v>391</v>
      </c>
      <c r="B100" t="s">
        <v>192</v>
      </c>
      <c r="E100">
        <v>304588</v>
      </c>
      <c r="F100">
        <v>41898</v>
      </c>
      <c r="G100">
        <v>90027</v>
      </c>
      <c r="H100">
        <v>93707</v>
      </c>
      <c r="I100">
        <v>8120</v>
      </c>
      <c r="J100">
        <v>3179</v>
      </c>
      <c r="K100">
        <v>11538</v>
      </c>
      <c r="L100">
        <v>627625</v>
      </c>
      <c r="M100">
        <v>33738606</v>
      </c>
      <c r="N100">
        <v>208602</v>
      </c>
      <c r="O100">
        <v>949727</v>
      </c>
      <c r="P100">
        <v>30930</v>
      </c>
      <c r="Q100">
        <v>1799707</v>
      </c>
      <c r="R100">
        <v>10005</v>
      </c>
      <c r="S100">
        <v>18824</v>
      </c>
      <c r="T100">
        <v>416350</v>
      </c>
      <c r="U100">
        <v>102256</v>
      </c>
      <c r="V100">
        <v>718549</v>
      </c>
      <c r="W100">
        <v>417505</v>
      </c>
      <c r="X100">
        <v>211585</v>
      </c>
      <c r="Y100">
        <v>103187</v>
      </c>
      <c r="Z100">
        <v>4379040</v>
      </c>
      <c r="AA100">
        <v>232075</v>
      </c>
      <c r="AB100">
        <v>11024</v>
      </c>
      <c r="AC100">
        <v>5991472</v>
      </c>
      <c r="AD100">
        <v>78232</v>
      </c>
      <c r="AF100">
        <v>13965842</v>
      </c>
      <c r="AG100">
        <v>74034</v>
      </c>
      <c r="AH100">
        <v>28527</v>
      </c>
      <c r="AI100">
        <v>697774</v>
      </c>
      <c r="AJ100">
        <v>68850</v>
      </c>
      <c r="AK100">
        <v>22849</v>
      </c>
      <c r="AL100">
        <v>7871145</v>
      </c>
      <c r="AM100">
        <v>20674</v>
      </c>
      <c r="AN100">
        <v>2452046</v>
      </c>
      <c r="AO100">
        <v>9117</v>
      </c>
      <c r="AP100">
        <v>427840</v>
      </c>
      <c r="AQ100">
        <v>342456</v>
      </c>
      <c r="AR100">
        <v>7506</v>
      </c>
      <c r="AS100">
        <v>519805</v>
      </c>
      <c r="AT100">
        <v>39550</v>
      </c>
      <c r="AU100">
        <v>46320025</v>
      </c>
      <c r="AV100">
        <v>11623208</v>
      </c>
      <c r="AW100">
        <v>221816</v>
      </c>
      <c r="AX100">
        <v>73975</v>
      </c>
      <c r="AY100">
        <v>43213</v>
      </c>
      <c r="BA100">
        <v>242293</v>
      </c>
      <c r="BB100">
        <v>633005</v>
      </c>
      <c r="BC100">
        <v>47958</v>
      </c>
      <c r="BD100">
        <v>21636</v>
      </c>
      <c r="BE100">
        <v>9009</v>
      </c>
      <c r="BF100">
        <v>2288788</v>
      </c>
      <c r="BG100">
        <v>5201</v>
      </c>
      <c r="BH100">
        <v>2561086</v>
      </c>
      <c r="BI100">
        <v>310991</v>
      </c>
      <c r="BJ100">
        <v>21193</v>
      </c>
      <c r="BK100">
        <v>14083</v>
      </c>
      <c r="BL100">
        <v>1661820</v>
      </c>
      <c r="BM100">
        <v>4202146</v>
      </c>
      <c r="BN100">
        <v>516535</v>
      </c>
      <c r="BO100">
        <v>15809935</v>
      </c>
      <c r="BP100">
        <v>16567106</v>
      </c>
      <c r="BQ100">
        <v>19289</v>
      </c>
      <c r="BR100">
        <v>610937</v>
      </c>
      <c r="BS100" s="180">
        <v>116813</v>
      </c>
      <c r="BT100" s="180">
        <v>2249591</v>
      </c>
      <c r="BU100" s="180">
        <v>23129</v>
      </c>
      <c r="BV100" s="180">
        <v>11263</v>
      </c>
      <c r="BW100" s="180">
        <v>437070</v>
      </c>
      <c r="BX100" s="180">
        <v>1689744</v>
      </c>
      <c r="BY100" s="180">
        <v>8008329</v>
      </c>
      <c r="BZ100" s="180">
        <v>52450</v>
      </c>
      <c r="CA100" s="180">
        <v>2649772</v>
      </c>
      <c r="CB100" s="180">
        <v>134849</v>
      </c>
      <c r="CC100" s="180">
        <v>367242</v>
      </c>
      <c r="CD100" s="180">
        <v>18797448</v>
      </c>
      <c r="CE100" s="180"/>
      <c r="CF100" s="180"/>
      <c r="CG100" s="180"/>
      <c r="CH100" s="180"/>
      <c r="CI100" s="180"/>
      <c r="CJ100" s="180"/>
      <c r="CK100" s="180"/>
      <c r="CL100" s="180"/>
      <c r="CM100" s="180"/>
      <c r="CN100" s="180"/>
      <c r="CO100" s="180"/>
      <c r="CP100" s="180"/>
      <c r="CQ100" s="180"/>
      <c r="CR100" s="180"/>
      <c r="CS100" s="180"/>
      <c r="CT100" s="180"/>
      <c r="CU100" s="180"/>
    </row>
    <row r="101" spans="1:99" x14ac:dyDescent="0.3">
      <c r="A101">
        <v>500</v>
      </c>
      <c r="B101" t="s">
        <v>175</v>
      </c>
      <c r="E101">
        <v>269955</v>
      </c>
      <c r="F101">
        <v>220315</v>
      </c>
      <c r="G101">
        <v>781</v>
      </c>
      <c r="H101">
        <v>150882</v>
      </c>
      <c r="I101">
        <v>39880</v>
      </c>
      <c r="J101">
        <v>17373</v>
      </c>
      <c r="K101">
        <v>268276</v>
      </c>
      <c r="L101">
        <v>812691</v>
      </c>
      <c r="M101">
        <v>68076749</v>
      </c>
      <c r="N101">
        <v>263044</v>
      </c>
      <c r="O101">
        <v>536624</v>
      </c>
      <c r="P101">
        <v>27626</v>
      </c>
      <c r="Q101">
        <v>1278036</v>
      </c>
      <c r="R101">
        <v>71644</v>
      </c>
      <c r="S101">
        <v>190698</v>
      </c>
      <c r="T101">
        <v>1150405</v>
      </c>
      <c r="U101">
        <v>0</v>
      </c>
      <c r="V101">
        <v>1508830</v>
      </c>
      <c r="W101">
        <v>0</v>
      </c>
      <c r="X101">
        <v>529570</v>
      </c>
      <c r="Y101">
        <v>167047</v>
      </c>
      <c r="Z101">
        <v>45851652</v>
      </c>
      <c r="AA101">
        <v>4011402</v>
      </c>
      <c r="AB101">
        <v>482934</v>
      </c>
      <c r="AC101">
        <v>0</v>
      </c>
      <c r="AD101">
        <v>154777</v>
      </c>
      <c r="AF101">
        <v>60132762</v>
      </c>
      <c r="AG101">
        <v>93043</v>
      </c>
      <c r="AH101">
        <v>136119</v>
      </c>
      <c r="AI101">
        <v>2427537</v>
      </c>
      <c r="AJ101">
        <v>96353</v>
      </c>
      <c r="AK101">
        <v>81136</v>
      </c>
      <c r="AL101">
        <v>2740148</v>
      </c>
      <c r="AM101">
        <v>39146</v>
      </c>
      <c r="AN101">
        <v>4799610</v>
      </c>
      <c r="AO101">
        <v>0</v>
      </c>
      <c r="AP101">
        <v>257154</v>
      </c>
      <c r="AQ101">
        <v>92652</v>
      </c>
      <c r="AR101">
        <v>51675</v>
      </c>
      <c r="AS101">
        <v>225826</v>
      </c>
      <c r="AT101">
        <v>40130</v>
      </c>
      <c r="AU101">
        <v>115102717</v>
      </c>
      <c r="AV101">
        <v>38512749</v>
      </c>
      <c r="AW101">
        <v>721147</v>
      </c>
      <c r="AX101">
        <v>41158</v>
      </c>
      <c r="AY101">
        <v>125407</v>
      </c>
      <c r="BA101">
        <v>37212</v>
      </c>
      <c r="BB101">
        <v>1313883</v>
      </c>
      <c r="BC101">
        <v>4887</v>
      </c>
      <c r="BD101">
        <v>65047</v>
      </c>
      <c r="BE101">
        <v>15858</v>
      </c>
      <c r="BF101">
        <v>4957566</v>
      </c>
      <c r="BG101">
        <v>22665</v>
      </c>
      <c r="BH101">
        <v>6005682</v>
      </c>
      <c r="BI101">
        <v>1206880</v>
      </c>
      <c r="BJ101">
        <v>167447</v>
      </c>
      <c r="BK101">
        <v>50602</v>
      </c>
      <c r="BL101">
        <v>3300504</v>
      </c>
      <c r="BM101">
        <v>24307281</v>
      </c>
      <c r="BN101">
        <v>937042</v>
      </c>
      <c r="BO101">
        <v>29654502</v>
      </c>
      <c r="BP101">
        <v>22357588</v>
      </c>
      <c r="BQ101">
        <v>40399</v>
      </c>
      <c r="BR101">
        <v>149799</v>
      </c>
      <c r="BS101" s="180">
        <v>727433</v>
      </c>
      <c r="BT101" s="180">
        <v>801640</v>
      </c>
      <c r="BU101" s="180">
        <v>406545</v>
      </c>
      <c r="BV101" s="180">
        <v>216108</v>
      </c>
      <c r="BW101" s="180">
        <v>5525975</v>
      </c>
      <c r="BX101" s="180">
        <v>1096338</v>
      </c>
      <c r="BY101" s="180">
        <v>45185666</v>
      </c>
      <c r="BZ101" s="180">
        <v>48855</v>
      </c>
      <c r="CA101" s="180">
        <v>7884246</v>
      </c>
      <c r="CB101" s="180">
        <v>129029</v>
      </c>
      <c r="CC101" s="180">
        <v>707799</v>
      </c>
      <c r="CD101" s="180">
        <v>22442726</v>
      </c>
      <c r="CE101" s="180"/>
      <c r="CF101" s="180"/>
      <c r="CG101" s="180"/>
      <c r="CH101" s="180"/>
      <c r="CI101" s="180"/>
      <c r="CJ101" s="180"/>
      <c r="CK101" s="180"/>
      <c r="CL101" s="180"/>
      <c r="CM101" s="180"/>
      <c r="CN101" s="180"/>
      <c r="CO101" s="180"/>
      <c r="CP101" s="180"/>
      <c r="CQ101" s="180"/>
      <c r="CR101" s="180"/>
      <c r="CS101" s="180"/>
      <c r="CT101" s="180"/>
      <c r="CU101" s="180"/>
    </row>
    <row r="102" spans="1:99" x14ac:dyDescent="0.3">
      <c r="A102">
        <v>502</v>
      </c>
      <c r="B102" t="s">
        <v>177</v>
      </c>
      <c r="E102">
        <v>164706</v>
      </c>
      <c r="F102">
        <v>0</v>
      </c>
      <c r="G102">
        <v>1412067</v>
      </c>
      <c r="H102">
        <v>756796</v>
      </c>
      <c r="I102">
        <v>128282</v>
      </c>
      <c r="J102">
        <v>0</v>
      </c>
      <c r="K102">
        <v>197283</v>
      </c>
      <c r="L102">
        <v>4705014</v>
      </c>
      <c r="M102">
        <v>46040504</v>
      </c>
      <c r="N102">
        <v>0</v>
      </c>
      <c r="O102">
        <v>0</v>
      </c>
      <c r="P102">
        <v>52362</v>
      </c>
      <c r="Q102">
        <v>9957649</v>
      </c>
      <c r="R102">
        <v>0</v>
      </c>
      <c r="S102">
        <v>1403959</v>
      </c>
      <c r="T102">
        <v>682608</v>
      </c>
      <c r="U102">
        <v>1344513</v>
      </c>
      <c r="V102">
        <v>8477375</v>
      </c>
      <c r="W102">
        <v>0</v>
      </c>
      <c r="X102">
        <v>304889</v>
      </c>
      <c r="Y102">
        <v>1336292</v>
      </c>
      <c r="Z102">
        <v>56585837</v>
      </c>
      <c r="AA102">
        <v>1512419</v>
      </c>
      <c r="AB102">
        <v>700276</v>
      </c>
      <c r="AC102">
        <v>0</v>
      </c>
      <c r="AD102">
        <v>0</v>
      </c>
      <c r="AF102">
        <v>80928767</v>
      </c>
      <c r="AG102">
        <v>0</v>
      </c>
      <c r="AH102">
        <v>70559</v>
      </c>
      <c r="AI102">
        <v>2223220</v>
      </c>
      <c r="AJ102">
        <v>104468</v>
      </c>
      <c r="AK102">
        <v>208675</v>
      </c>
      <c r="AL102">
        <v>23477901</v>
      </c>
      <c r="AM102">
        <v>347882</v>
      </c>
      <c r="AN102">
        <v>10158127</v>
      </c>
      <c r="AO102">
        <v>0</v>
      </c>
      <c r="AP102">
        <v>10529226</v>
      </c>
      <c r="AQ102">
        <v>0</v>
      </c>
      <c r="AR102">
        <v>0</v>
      </c>
      <c r="AS102">
        <v>1516940</v>
      </c>
      <c r="AT102">
        <v>113683</v>
      </c>
      <c r="AU102">
        <v>117938618</v>
      </c>
      <c r="AV102">
        <v>144562804</v>
      </c>
      <c r="AW102">
        <v>662525</v>
      </c>
      <c r="AX102">
        <v>84333</v>
      </c>
      <c r="AY102">
        <v>3452</v>
      </c>
      <c r="BA102">
        <v>1248666</v>
      </c>
      <c r="BB102">
        <v>3632318</v>
      </c>
      <c r="BC102">
        <v>375040</v>
      </c>
      <c r="BD102">
        <v>0</v>
      </c>
      <c r="BE102">
        <v>184924</v>
      </c>
      <c r="BF102">
        <v>12839458</v>
      </c>
      <c r="BG102">
        <v>0</v>
      </c>
      <c r="BH102">
        <v>12938565</v>
      </c>
      <c r="BI102">
        <v>1130168</v>
      </c>
      <c r="BJ102">
        <v>0</v>
      </c>
      <c r="BK102">
        <v>0</v>
      </c>
      <c r="BL102">
        <v>31750717</v>
      </c>
      <c r="BM102">
        <v>9836679</v>
      </c>
      <c r="BN102">
        <v>1096002</v>
      </c>
      <c r="BO102">
        <v>35775130</v>
      </c>
      <c r="BP102">
        <v>132459543</v>
      </c>
      <c r="BQ102">
        <v>285756</v>
      </c>
      <c r="BR102">
        <v>9814277</v>
      </c>
      <c r="BS102" s="180">
        <v>0</v>
      </c>
      <c r="BT102" s="180">
        <v>13897505</v>
      </c>
      <c r="BU102" s="180">
        <v>607879</v>
      </c>
      <c r="BV102" s="180">
        <v>18265</v>
      </c>
      <c r="BW102" s="180">
        <v>749762</v>
      </c>
      <c r="BX102" s="180">
        <v>0</v>
      </c>
      <c r="BY102" s="180">
        <v>0</v>
      </c>
      <c r="BZ102" s="180">
        <v>769532</v>
      </c>
      <c r="CA102" s="180">
        <v>0</v>
      </c>
      <c r="CB102" s="180">
        <v>293791</v>
      </c>
      <c r="CC102" s="180">
        <v>0</v>
      </c>
      <c r="CD102" s="180">
        <v>8619975</v>
      </c>
      <c r="CE102" s="180"/>
      <c r="CF102" s="180"/>
      <c r="CG102" s="180"/>
      <c r="CH102" s="180"/>
      <c r="CI102" s="180"/>
      <c r="CJ102" s="180"/>
      <c r="CK102" s="180"/>
      <c r="CL102" s="180"/>
      <c r="CM102" s="180"/>
      <c r="CN102" s="180"/>
      <c r="CO102" s="180"/>
      <c r="CP102" s="180"/>
      <c r="CQ102" s="180"/>
      <c r="CR102" s="180"/>
      <c r="CS102" s="180"/>
      <c r="CT102" s="180"/>
      <c r="CU102" s="180"/>
    </row>
    <row r="103" spans="1:99" x14ac:dyDescent="0.3">
      <c r="A103">
        <v>503</v>
      </c>
      <c r="B103" t="s">
        <v>178</v>
      </c>
      <c r="E103">
        <v>95980</v>
      </c>
      <c r="F103">
        <v>0</v>
      </c>
      <c r="G103">
        <v>42729</v>
      </c>
      <c r="H103">
        <v>106250</v>
      </c>
      <c r="I103">
        <v>20917</v>
      </c>
      <c r="J103">
        <v>0</v>
      </c>
      <c r="K103">
        <v>47344</v>
      </c>
      <c r="L103">
        <v>963989</v>
      </c>
      <c r="M103">
        <v>4704310</v>
      </c>
      <c r="N103">
        <v>0</v>
      </c>
      <c r="O103">
        <v>0</v>
      </c>
      <c r="P103">
        <v>700</v>
      </c>
      <c r="Q103">
        <v>629792</v>
      </c>
      <c r="R103">
        <v>0</v>
      </c>
      <c r="S103">
        <v>61539</v>
      </c>
      <c r="T103">
        <v>58715</v>
      </c>
      <c r="U103">
        <v>9485</v>
      </c>
      <c r="V103">
        <v>44380</v>
      </c>
      <c r="W103">
        <v>0</v>
      </c>
      <c r="X103">
        <v>60938</v>
      </c>
      <c r="Y103">
        <v>123737</v>
      </c>
      <c r="Z103">
        <v>7214761</v>
      </c>
      <c r="AA103">
        <v>0</v>
      </c>
      <c r="AB103">
        <v>48950</v>
      </c>
      <c r="AC103">
        <v>0</v>
      </c>
      <c r="AD103">
        <v>0</v>
      </c>
      <c r="AF103">
        <v>9433822</v>
      </c>
      <c r="AG103">
        <v>0</v>
      </c>
      <c r="AH103">
        <v>19027</v>
      </c>
      <c r="AI103">
        <v>135011</v>
      </c>
      <c r="AJ103">
        <v>0</v>
      </c>
      <c r="AK103">
        <v>7450</v>
      </c>
      <c r="AL103">
        <v>1578697</v>
      </c>
      <c r="AM103">
        <v>0</v>
      </c>
      <c r="AN103">
        <v>1103459</v>
      </c>
      <c r="AO103">
        <v>0</v>
      </c>
      <c r="AP103">
        <v>1572541</v>
      </c>
      <c r="AQ103">
        <v>0</v>
      </c>
      <c r="AR103">
        <v>0</v>
      </c>
      <c r="AS103">
        <v>59873</v>
      </c>
      <c r="AT103">
        <v>24260</v>
      </c>
      <c r="AU103">
        <v>106238830</v>
      </c>
      <c r="AV103">
        <v>22316775</v>
      </c>
      <c r="AW103">
        <v>365596</v>
      </c>
      <c r="AX103">
        <v>66103</v>
      </c>
      <c r="AY103">
        <v>100772</v>
      </c>
      <c r="BA103">
        <v>103719</v>
      </c>
      <c r="BB103">
        <v>0</v>
      </c>
      <c r="BC103">
        <v>121495</v>
      </c>
      <c r="BD103">
        <v>0</v>
      </c>
      <c r="BE103">
        <v>0</v>
      </c>
      <c r="BF103">
        <v>342328</v>
      </c>
      <c r="BG103">
        <v>0</v>
      </c>
      <c r="BH103">
        <v>413847</v>
      </c>
      <c r="BI103">
        <v>107764</v>
      </c>
      <c r="BJ103">
        <v>0</v>
      </c>
      <c r="BK103">
        <v>0</v>
      </c>
      <c r="BL103">
        <v>371139</v>
      </c>
      <c r="BM103">
        <v>8948326</v>
      </c>
      <c r="BN103">
        <v>124189</v>
      </c>
      <c r="BO103">
        <v>737835</v>
      </c>
      <c r="BP103">
        <v>103610899</v>
      </c>
      <c r="BQ103">
        <v>19375</v>
      </c>
      <c r="BR103">
        <v>47566</v>
      </c>
      <c r="BS103" s="180">
        <v>0</v>
      </c>
      <c r="BT103" s="180">
        <v>12364578</v>
      </c>
      <c r="BU103" s="180">
        <v>86195</v>
      </c>
      <c r="BV103" s="180">
        <v>350</v>
      </c>
      <c r="BW103" s="180">
        <v>3737068</v>
      </c>
      <c r="BX103" s="180">
        <v>0</v>
      </c>
      <c r="BY103" s="180">
        <v>0</v>
      </c>
      <c r="BZ103" s="180">
        <v>47063</v>
      </c>
      <c r="CA103" s="180">
        <v>0</v>
      </c>
      <c r="CB103" s="180">
        <v>12615</v>
      </c>
      <c r="CC103" s="180">
        <v>0</v>
      </c>
      <c r="CD103" s="180">
        <v>329021</v>
      </c>
      <c r="CE103" s="180"/>
      <c r="CF103" s="180"/>
      <c r="CG103" s="180"/>
      <c r="CH103" s="180"/>
      <c r="CI103" s="180"/>
      <c r="CJ103" s="180"/>
      <c r="CK103" s="180"/>
      <c r="CL103" s="180"/>
      <c r="CM103" s="180"/>
      <c r="CN103" s="180"/>
      <c r="CO103" s="180"/>
      <c r="CP103" s="180"/>
      <c r="CQ103" s="180"/>
      <c r="CR103" s="180"/>
      <c r="CS103" s="180"/>
      <c r="CT103" s="180"/>
      <c r="CU103" s="180"/>
    </row>
    <row r="104" spans="1:99" x14ac:dyDescent="0.3">
      <c r="A104">
        <v>504</v>
      </c>
      <c r="B104" t="s">
        <v>182</v>
      </c>
      <c r="E104">
        <v>915394</v>
      </c>
      <c r="F104">
        <v>116003</v>
      </c>
      <c r="G104">
        <v>335432</v>
      </c>
      <c r="H104">
        <v>172596</v>
      </c>
      <c r="I104">
        <v>0</v>
      </c>
      <c r="J104">
        <v>1140</v>
      </c>
      <c r="K104">
        <v>47862</v>
      </c>
      <c r="L104">
        <v>36008</v>
      </c>
      <c r="M104">
        <v>32371510</v>
      </c>
      <c r="N104">
        <v>637320</v>
      </c>
      <c r="O104">
        <v>2911283</v>
      </c>
      <c r="P104">
        <v>8990</v>
      </c>
      <c r="Q104">
        <v>2360762</v>
      </c>
      <c r="R104">
        <v>29644</v>
      </c>
      <c r="S104">
        <v>24672</v>
      </c>
      <c r="T104">
        <v>790071</v>
      </c>
      <c r="U104">
        <v>0</v>
      </c>
      <c r="V104">
        <v>611133</v>
      </c>
      <c r="W104">
        <v>145050</v>
      </c>
      <c r="X104">
        <v>108228</v>
      </c>
      <c r="Y104">
        <v>49457</v>
      </c>
      <c r="Z104">
        <v>14588334</v>
      </c>
      <c r="AA104">
        <v>0</v>
      </c>
      <c r="AB104">
        <v>662841</v>
      </c>
      <c r="AC104">
        <v>11242385</v>
      </c>
      <c r="AD104">
        <v>384781</v>
      </c>
      <c r="AF104">
        <v>7088460</v>
      </c>
      <c r="AG104">
        <v>0</v>
      </c>
      <c r="AH104">
        <v>17228</v>
      </c>
      <c r="AI104">
        <v>1559045</v>
      </c>
      <c r="AJ104">
        <v>283880</v>
      </c>
      <c r="AK104">
        <v>17390</v>
      </c>
      <c r="AL104">
        <v>6274280</v>
      </c>
      <c r="AM104">
        <v>59642</v>
      </c>
      <c r="AN104">
        <v>1519437</v>
      </c>
      <c r="AO104">
        <v>0</v>
      </c>
      <c r="AP104">
        <v>1003835</v>
      </c>
      <c r="AQ104">
        <v>659573</v>
      </c>
      <c r="AR104">
        <v>0</v>
      </c>
      <c r="AS104">
        <v>458392</v>
      </c>
      <c r="AT104">
        <v>18428</v>
      </c>
      <c r="AU104">
        <v>81576480</v>
      </c>
      <c r="AV104">
        <v>7273360</v>
      </c>
      <c r="AW104">
        <v>85965</v>
      </c>
      <c r="AX104">
        <v>84863</v>
      </c>
      <c r="AY104">
        <v>174390</v>
      </c>
      <c r="BA104">
        <v>16853</v>
      </c>
      <c r="BB104">
        <v>53140</v>
      </c>
      <c r="BC104">
        <v>111310</v>
      </c>
      <c r="BD104">
        <v>5598</v>
      </c>
      <c r="BE104">
        <v>2743</v>
      </c>
      <c r="BF104">
        <v>2385940</v>
      </c>
      <c r="BG104">
        <v>3855</v>
      </c>
      <c r="BH104">
        <v>4451255</v>
      </c>
      <c r="BI104">
        <v>292064</v>
      </c>
      <c r="BJ104">
        <v>70290</v>
      </c>
      <c r="BK104">
        <v>0</v>
      </c>
      <c r="BL104">
        <v>694992</v>
      </c>
      <c r="BM104">
        <v>6821829</v>
      </c>
      <c r="BN104">
        <v>217315</v>
      </c>
      <c r="BO104">
        <v>9956988</v>
      </c>
      <c r="BP104">
        <v>27612324</v>
      </c>
      <c r="BQ104">
        <v>921656</v>
      </c>
      <c r="BR104">
        <v>1027234</v>
      </c>
      <c r="BS104" s="180">
        <v>334845</v>
      </c>
      <c r="BT104" s="180">
        <v>548989</v>
      </c>
      <c r="BU104" s="180">
        <v>26716</v>
      </c>
      <c r="BV104" s="180">
        <v>26454</v>
      </c>
      <c r="BW104" s="180">
        <v>942418</v>
      </c>
      <c r="BX104" s="180">
        <v>126141</v>
      </c>
      <c r="BY104" s="180">
        <v>4846721</v>
      </c>
      <c r="BZ104" s="180">
        <v>154787</v>
      </c>
      <c r="CA104" s="180">
        <v>556151</v>
      </c>
      <c r="CB104" s="180">
        <v>115099</v>
      </c>
      <c r="CC104" s="180">
        <v>1784075</v>
      </c>
      <c r="CD104" s="180">
        <v>12978041</v>
      </c>
      <c r="CE104" s="180"/>
      <c r="CF104" s="180"/>
      <c r="CG104" s="180"/>
      <c r="CH104" s="180"/>
      <c r="CI104" s="180"/>
      <c r="CJ104" s="180"/>
      <c r="CK104" s="180"/>
      <c r="CL104" s="180"/>
      <c r="CM104" s="180"/>
      <c r="CN104" s="180"/>
      <c r="CO104" s="180"/>
      <c r="CP104" s="180"/>
      <c r="CQ104" s="180"/>
      <c r="CR104" s="180"/>
      <c r="CS104" s="180"/>
      <c r="CT104" s="180"/>
      <c r="CU104" s="180"/>
    </row>
    <row r="105" spans="1:99" x14ac:dyDescent="0.3">
      <c r="A105">
        <v>505</v>
      </c>
      <c r="B105" t="s">
        <v>183</v>
      </c>
      <c r="E105">
        <v>4912</v>
      </c>
      <c r="F105">
        <v>6520</v>
      </c>
      <c r="G105">
        <v>0</v>
      </c>
      <c r="H105">
        <v>0</v>
      </c>
      <c r="I105">
        <v>66181</v>
      </c>
      <c r="J105">
        <v>0</v>
      </c>
      <c r="K105">
        <v>0</v>
      </c>
      <c r="L105">
        <v>1012054</v>
      </c>
      <c r="M105">
        <v>13851279</v>
      </c>
      <c r="N105">
        <v>0</v>
      </c>
      <c r="O105">
        <v>0</v>
      </c>
      <c r="P105">
        <v>5016</v>
      </c>
      <c r="Q105">
        <v>1063223</v>
      </c>
      <c r="R105">
        <v>0</v>
      </c>
      <c r="S105">
        <v>0</v>
      </c>
      <c r="T105">
        <v>122500</v>
      </c>
      <c r="U105">
        <v>221363</v>
      </c>
      <c r="V105">
        <v>221592</v>
      </c>
      <c r="W105">
        <v>0</v>
      </c>
      <c r="X105">
        <v>0</v>
      </c>
      <c r="Y105">
        <v>0</v>
      </c>
      <c r="Z105">
        <v>15767749</v>
      </c>
      <c r="AA105">
        <v>0</v>
      </c>
      <c r="AB105">
        <v>0</v>
      </c>
      <c r="AC105">
        <v>783438</v>
      </c>
      <c r="AD105">
        <v>0</v>
      </c>
      <c r="AF105">
        <v>7126878</v>
      </c>
      <c r="AG105">
        <v>8707</v>
      </c>
      <c r="AH105">
        <v>37946</v>
      </c>
      <c r="AI105">
        <v>1000000</v>
      </c>
      <c r="AJ105">
        <v>106731</v>
      </c>
      <c r="AK105">
        <v>0</v>
      </c>
      <c r="AL105">
        <v>60000</v>
      </c>
      <c r="AM105">
        <v>0</v>
      </c>
      <c r="AN105">
        <v>451092</v>
      </c>
      <c r="AO105">
        <v>0</v>
      </c>
      <c r="AP105">
        <v>341303</v>
      </c>
      <c r="AQ105">
        <v>92003</v>
      </c>
      <c r="AR105">
        <v>227450</v>
      </c>
      <c r="AS105">
        <v>140000</v>
      </c>
      <c r="AT105">
        <v>470535</v>
      </c>
      <c r="AU105">
        <v>14971399</v>
      </c>
      <c r="AV105">
        <v>10168094</v>
      </c>
      <c r="AW105">
        <v>150474</v>
      </c>
      <c r="AX105">
        <v>0</v>
      </c>
      <c r="AY105">
        <v>0</v>
      </c>
      <c r="BA105">
        <v>0</v>
      </c>
      <c r="BB105">
        <v>789685</v>
      </c>
      <c r="BC105">
        <v>0</v>
      </c>
      <c r="BD105">
        <v>0</v>
      </c>
      <c r="BE105">
        <v>0</v>
      </c>
      <c r="BF105">
        <v>8294474</v>
      </c>
      <c r="BG105">
        <v>0</v>
      </c>
      <c r="BH105">
        <v>0</v>
      </c>
      <c r="BI105">
        <v>51100</v>
      </c>
      <c r="BJ105">
        <v>0</v>
      </c>
      <c r="BK105">
        <v>0</v>
      </c>
      <c r="BL105">
        <v>1979779</v>
      </c>
      <c r="BM105">
        <v>242832</v>
      </c>
      <c r="BN105">
        <v>125355</v>
      </c>
      <c r="BO105">
        <v>16814025</v>
      </c>
      <c r="BP105">
        <v>6207388</v>
      </c>
      <c r="BQ105">
        <v>0</v>
      </c>
      <c r="BR105">
        <v>60630</v>
      </c>
      <c r="BS105" s="180">
        <v>3500</v>
      </c>
      <c r="BT105" s="180">
        <v>226332</v>
      </c>
      <c r="BU105" s="180">
        <v>0</v>
      </c>
      <c r="BV105" s="180">
        <v>144094</v>
      </c>
      <c r="BW105" s="180">
        <v>583898</v>
      </c>
      <c r="BX105" s="180">
        <v>1645000</v>
      </c>
      <c r="BY105" s="180">
        <v>2093714</v>
      </c>
      <c r="BZ105" s="180">
        <v>0</v>
      </c>
      <c r="CA105" s="180">
        <v>1811858</v>
      </c>
      <c r="CB105" s="180">
        <v>0</v>
      </c>
      <c r="CC105" s="180">
        <v>126813</v>
      </c>
      <c r="CD105" s="180">
        <v>4860178</v>
      </c>
      <c r="CE105" s="180"/>
      <c r="CF105" s="180"/>
      <c r="CG105" s="180"/>
      <c r="CH105" s="180"/>
      <c r="CI105" s="180"/>
      <c r="CJ105" s="180"/>
      <c r="CK105" s="180"/>
      <c r="CL105" s="180"/>
      <c r="CM105" s="180"/>
      <c r="CN105" s="180"/>
      <c r="CO105" s="180"/>
      <c r="CP105" s="180"/>
      <c r="CQ105" s="180"/>
      <c r="CR105" s="180"/>
      <c r="CS105" s="180"/>
      <c r="CT105" s="180"/>
      <c r="CU105" s="180"/>
    </row>
    <row r="106" spans="1:99" x14ac:dyDescent="0.3">
      <c r="A106">
        <v>506</v>
      </c>
      <c r="B106" t="s">
        <v>189</v>
      </c>
      <c r="E106">
        <v>865719</v>
      </c>
      <c r="F106">
        <v>634837</v>
      </c>
      <c r="G106">
        <v>1205081</v>
      </c>
      <c r="H106">
        <v>1493974</v>
      </c>
      <c r="I106">
        <v>319277</v>
      </c>
      <c r="J106">
        <v>104237</v>
      </c>
      <c r="K106">
        <v>411302</v>
      </c>
      <c r="L106">
        <v>2487775</v>
      </c>
      <c r="M106">
        <v>73591644</v>
      </c>
      <c r="N106">
        <v>3458146</v>
      </c>
      <c r="O106">
        <v>9715716</v>
      </c>
      <c r="P106">
        <v>151266</v>
      </c>
      <c r="Q106">
        <v>13037299</v>
      </c>
      <c r="R106">
        <v>189616</v>
      </c>
      <c r="S106">
        <v>636924</v>
      </c>
      <c r="T106">
        <v>1829689</v>
      </c>
      <c r="U106">
        <v>2625228</v>
      </c>
      <c r="V106">
        <v>7181027</v>
      </c>
      <c r="W106">
        <v>1305856</v>
      </c>
      <c r="X106">
        <v>721872</v>
      </c>
      <c r="Y106">
        <v>185961</v>
      </c>
      <c r="Z106">
        <v>40057924</v>
      </c>
      <c r="AA106">
        <v>4821145</v>
      </c>
      <c r="AB106">
        <v>1325824</v>
      </c>
      <c r="AC106">
        <v>44910360</v>
      </c>
      <c r="AD106">
        <v>793909</v>
      </c>
      <c r="AF106">
        <v>41116143</v>
      </c>
      <c r="AG106">
        <v>1175958</v>
      </c>
      <c r="AH106">
        <v>339109</v>
      </c>
      <c r="AI106">
        <v>2716458</v>
      </c>
      <c r="AJ106">
        <v>1338676</v>
      </c>
      <c r="AK106">
        <v>92134</v>
      </c>
      <c r="AL106">
        <v>20130387</v>
      </c>
      <c r="AM106">
        <v>700481</v>
      </c>
      <c r="AN106">
        <v>14246795</v>
      </c>
      <c r="AO106">
        <v>172103</v>
      </c>
      <c r="AP106">
        <v>6067231</v>
      </c>
      <c r="AQ106">
        <v>3075194</v>
      </c>
      <c r="AR106">
        <v>275822</v>
      </c>
      <c r="AS106">
        <v>2458710</v>
      </c>
      <c r="AT106">
        <v>1171702</v>
      </c>
      <c r="AU106">
        <v>103943443</v>
      </c>
      <c r="AV106">
        <v>31170501</v>
      </c>
      <c r="AW106">
        <v>1604692</v>
      </c>
      <c r="AX106">
        <v>256488</v>
      </c>
      <c r="AY106">
        <v>489383</v>
      </c>
      <c r="BA106">
        <v>792803</v>
      </c>
      <c r="BB106">
        <v>4345731</v>
      </c>
      <c r="BC106">
        <v>1396548</v>
      </c>
      <c r="BD106">
        <v>268237</v>
      </c>
      <c r="BE106">
        <v>164397</v>
      </c>
      <c r="BF106">
        <v>7928988</v>
      </c>
      <c r="BG106">
        <v>77328</v>
      </c>
      <c r="BH106">
        <v>15970777</v>
      </c>
      <c r="BI106">
        <v>1092609</v>
      </c>
      <c r="BJ106">
        <v>588492</v>
      </c>
      <c r="BK106">
        <v>527188</v>
      </c>
      <c r="BL106">
        <v>10698559</v>
      </c>
      <c r="BM106">
        <v>8265464</v>
      </c>
      <c r="BN106">
        <v>1483936</v>
      </c>
      <c r="BO106">
        <v>46931653</v>
      </c>
      <c r="BP106">
        <v>41384105</v>
      </c>
      <c r="BQ106">
        <v>343507</v>
      </c>
      <c r="BR106">
        <v>4224915</v>
      </c>
      <c r="BS106" s="180">
        <v>2249931</v>
      </c>
      <c r="BT106" s="180">
        <v>13243511</v>
      </c>
      <c r="BU106" s="180">
        <v>285037</v>
      </c>
      <c r="BV106" s="180">
        <v>617931</v>
      </c>
      <c r="BW106" s="180">
        <v>5196005</v>
      </c>
      <c r="BX106" s="180">
        <v>2384175</v>
      </c>
      <c r="BY106" s="180">
        <v>22657381</v>
      </c>
      <c r="BZ106" s="180">
        <v>466929</v>
      </c>
      <c r="CA106" s="180">
        <v>6388647</v>
      </c>
      <c r="CB106" s="180">
        <v>1003325</v>
      </c>
      <c r="CC106" s="180">
        <v>2569366</v>
      </c>
      <c r="CD106" s="180">
        <v>60717097</v>
      </c>
      <c r="CE106" s="180"/>
      <c r="CF106" s="180"/>
      <c r="CG106" s="180"/>
      <c r="CH106" s="180"/>
      <c r="CI106" s="180"/>
      <c r="CJ106" s="180"/>
      <c r="CK106" s="180"/>
      <c r="CL106" s="180"/>
      <c r="CM106" s="180"/>
      <c r="CN106" s="180"/>
      <c r="CO106" s="180"/>
      <c r="CP106" s="180"/>
      <c r="CQ106" s="180"/>
      <c r="CR106" s="180"/>
      <c r="CS106" s="180"/>
      <c r="CT106" s="180"/>
      <c r="CU106" s="180"/>
    </row>
    <row r="107" spans="1:99" x14ac:dyDescent="0.3">
      <c r="A107">
        <v>507</v>
      </c>
      <c r="B107" t="s">
        <v>886</v>
      </c>
      <c r="E107">
        <v>0</v>
      </c>
      <c r="F107">
        <v>0</v>
      </c>
      <c r="G107">
        <v>0</v>
      </c>
      <c r="H107">
        <v>123</v>
      </c>
      <c r="I107">
        <v>0</v>
      </c>
      <c r="J107">
        <v>0</v>
      </c>
      <c r="K107">
        <v>0</v>
      </c>
      <c r="L107">
        <v>0</v>
      </c>
      <c r="M107">
        <v>0</v>
      </c>
      <c r="N107">
        <v>0</v>
      </c>
      <c r="O107">
        <v>0</v>
      </c>
      <c r="P107">
        <v>0</v>
      </c>
      <c r="Q107">
        <v>0</v>
      </c>
      <c r="R107">
        <v>0</v>
      </c>
      <c r="S107">
        <v>0</v>
      </c>
      <c r="T107">
        <v>1</v>
      </c>
      <c r="U107">
        <v>0</v>
      </c>
      <c r="V107">
        <v>0</v>
      </c>
      <c r="W107">
        <v>0</v>
      </c>
      <c r="X107">
        <v>-1</v>
      </c>
      <c r="Y107">
        <v>0</v>
      </c>
      <c r="Z107">
        <v>0</v>
      </c>
      <c r="AA107">
        <v>-1197090</v>
      </c>
      <c r="AB107">
        <v>-20491</v>
      </c>
      <c r="AC107">
        <v>0</v>
      </c>
      <c r="AD107">
        <v>0</v>
      </c>
      <c r="AF107">
        <v>39533</v>
      </c>
      <c r="AG107">
        <v>0</v>
      </c>
      <c r="AH107">
        <v>0</v>
      </c>
      <c r="AI107">
        <v>-90947</v>
      </c>
      <c r="AJ107">
        <v>0</v>
      </c>
      <c r="AK107">
        <v>6602</v>
      </c>
      <c r="AL107">
        <v>0</v>
      </c>
      <c r="AM107">
        <v>0</v>
      </c>
      <c r="AN107">
        <v>-2</v>
      </c>
      <c r="AO107">
        <v>0</v>
      </c>
      <c r="AP107">
        <v>0</v>
      </c>
      <c r="AQ107">
        <v>-1</v>
      </c>
      <c r="AR107">
        <v>0</v>
      </c>
      <c r="AS107">
        <v>-1</v>
      </c>
      <c r="AT107">
        <v>0</v>
      </c>
      <c r="AU107">
        <v>0</v>
      </c>
      <c r="AV107">
        <v>0</v>
      </c>
      <c r="AW107">
        <v>0</v>
      </c>
      <c r="AX107">
        <v>0</v>
      </c>
      <c r="AY107">
        <v>0</v>
      </c>
      <c r="BA107">
        <v>0</v>
      </c>
      <c r="BB107">
        <v>0</v>
      </c>
      <c r="BC107">
        <v>0</v>
      </c>
      <c r="BD107">
        <v>0</v>
      </c>
      <c r="BE107">
        <v>0</v>
      </c>
      <c r="BF107">
        <v>0</v>
      </c>
      <c r="BG107">
        <v>0</v>
      </c>
      <c r="BH107">
        <v>0</v>
      </c>
      <c r="BI107">
        <v>0</v>
      </c>
      <c r="BJ107">
        <v>0</v>
      </c>
      <c r="BK107">
        <v>0</v>
      </c>
      <c r="BL107">
        <v>0</v>
      </c>
      <c r="BM107">
        <v>0</v>
      </c>
      <c r="BN107">
        <v>0</v>
      </c>
      <c r="BO107">
        <v>0</v>
      </c>
      <c r="BP107">
        <v>0</v>
      </c>
      <c r="BQ107">
        <v>1</v>
      </c>
      <c r="BR107">
        <v>0</v>
      </c>
      <c r="BS107" s="180">
        <v>0</v>
      </c>
      <c r="BT107" s="180">
        <v>0</v>
      </c>
      <c r="BU107" s="180">
        <v>0</v>
      </c>
      <c r="BV107" s="180">
        <v>0</v>
      </c>
      <c r="BW107" s="180">
        <v>0</v>
      </c>
      <c r="BX107" s="180">
        <v>0</v>
      </c>
      <c r="BY107" s="180">
        <v>0</v>
      </c>
      <c r="BZ107" s="180">
        <v>0</v>
      </c>
      <c r="CA107" s="180">
        <v>0</v>
      </c>
      <c r="CB107" s="180">
        <v>-1</v>
      </c>
      <c r="CC107" s="180">
        <v>0</v>
      </c>
      <c r="CD107" s="180">
        <v>0</v>
      </c>
      <c r="CE107" s="180"/>
      <c r="CF107" s="180"/>
      <c r="CG107" s="180"/>
      <c r="CH107" s="180"/>
      <c r="CI107" s="180"/>
      <c r="CJ107" s="180"/>
      <c r="CK107" s="180"/>
      <c r="CL107" s="180"/>
      <c r="CM107" s="180"/>
      <c r="CN107" s="180"/>
      <c r="CO107" s="180"/>
      <c r="CP107" s="180"/>
      <c r="CQ107" s="180"/>
      <c r="CR107" s="180"/>
      <c r="CS107" s="180"/>
      <c r="CT107" s="180"/>
      <c r="CU107" s="180"/>
    </row>
    <row r="108" spans="1:99" x14ac:dyDescent="0.3">
      <c r="A108">
        <v>508</v>
      </c>
      <c r="B108" t="s">
        <v>204</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s="180">
        <v>0</v>
      </c>
      <c r="BT108" s="180">
        <v>0</v>
      </c>
      <c r="BU108" s="180">
        <v>0</v>
      </c>
      <c r="BV108" s="180">
        <v>0</v>
      </c>
      <c r="BW108" s="180">
        <v>0</v>
      </c>
      <c r="BX108" s="180">
        <v>0</v>
      </c>
      <c r="BY108" s="180">
        <v>0</v>
      </c>
      <c r="BZ108" s="180">
        <v>0</v>
      </c>
      <c r="CA108" s="180">
        <v>0</v>
      </c>
      <c r="CB108" s="180">
        <v>0</v>
      </c>
      <c r="CC108" s="180">
        <v>0</v>
      </c>
      <c r="CD108" s="180">
        <v>0</v>
      </c>
      <c r="CE108" s="180"/>
      <c r="CF108" s="180"/>
      <c r="CG108" s="180"/>
      <c r="CH108" s="180"/>
      <c r="CI108" s="180"/>
      <c r="CJ108" s="180"/>
      <c r="CK108" s="180"/>
      <c r="CL108" s="180"/>
      <c r="CM108" s="180"/>
      <c r="CN108" s="180"/>
      <c r="CO108" s="180"/>
      <c r="CP108" s="180"/>
      <c r="CQ108" s="180"/>
      <c r="CR108" s="180"/>
      <c r="CS108" s="180"/>
      <c r="CT108" s="180"/>
      <c r="CU108" s="180"/>
    </row>
    <row r="109" spans="1:99" x14ac:dyDescent="0.3">
      <c r="A109">
        <v>509</v>
      </c>
      <c r="B109" t="s">
        <v>205</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s="180">
        <v>0</v>
      </c>
      <c r="BT109" s="180">
        <v>0</v>
      </c>
      <c r="BU109" s="180">
        <v>0</v>
      </c>
      <c r="BV109" s="180">
        <v>0</v>
      </c>
      <c r="BW109" s="180">
        <v>0</v>
      </c>
      <c r="BX109" s="180">
        <v>0</v>
      </c>
      <c r="BY109" s="180">
        <v>0</v>
      </c>
      <c r="BZ109" s="180">
        <v>0</v>
      </c>
      <c r="CA109" s="180">
        <v>0</v>
      </c>
      <c r="CB109" s="180">
        <v>0</v>
      </c>
      <c r="CC109" s="180">
        <v>0</v>
      </c>
      <c r="CD109" s="180">
        <v>0</v>
      </c>
      <c r="CE109" s="180"/>
      <c r="CF109" s="180"/>
      <c r="CG109" s="180"/>
      <c r="CH109" s="180"/>
      <c r="CI109" s="180"/>
      <c r="CJ109" s="180"/>
      <c r="CK109" s="180"/>
      <c r="CL109" s="180"/>
      <c r="CM109" s="180"/>
      <c r="CN109" s="180"/>
      <c r="CO109" s="180"/>
      <c r="CP109" s="180"/>
      <c r="CQ109" s="180"/>
      <c r="CR109" s="180"/>
      <c r="CS109" s="180"/>
      <c r="CT109" s="180"/>
      <c r="CU109" s="180"/>
    </row>
    <row r="110" spans="1:99" x14ac:dyDescent="0.3">
      <c r="A110">
        <v>510</v>
      </c>
      <c r="B110" t="s">
        <v>211</v>
      </c>
      <c r="E110">
        <v>61441</v>
      </c>
      <c r="F110">
        <v>0</v>
      </c>
      <c r="G110">
        <v>0</v>
      </c>
      <c r="H110">
        <v>0</v>
      </c>
      <c r="I110">
        <v>0</v>
      </c>
      <c r="J110">
        <v>0</v>
      </c>
      <c r="K110">
        <v>0</v>
      </c>
      <c r="L110">
        <v>64998</v>
      </c>
      <c r="M110">
        <v>0</v>
      </c>
      <c r="N110">
        <v>0</v>
      </c>
      <c r="O110">
        <v>0</v>
      </c>
      <c r="P110">
        <v>0</v>
      </c>
      <c r="Q110">
        <v>24796</v>
      </c>
      <c r="R110">
        <v>0</v>
      </c>
      <c r="S110">
        <v>1733</v>
      </c>
      <c r="T110">
        <v>74831</v>
      </c>
      <c r="U110">
        <v>0</v>
      </c>
      <c r="V110">
        <v>213583</v>
      </c>
      <c r="W110">
        <v>0</v>
      </c>
      <c r="X110">
        <v>0</v>
      </c>
      <c r="Y110">
        <v>0</v>
      </c>
      <c r="Z110">
        <v>0</v>
      </c>
      <c r="AA110">
        <v>0</v>
      </c>
      <c r="AB110">
        <v>4500</v>
      </c>
      <c r="AC110">
        <v>0</v>
      </c>
      <c r="AD110">
        <v>0</v>
      </c>
      <c r="AF110">
        <v>407782</v>
      </c>
      <c r="AG110">
        <v>0</v>
      </c>
      <c r="AH110">
        <v>0</v>
      </c>
      <c r="AI110">
        <v>0</v>
      </c>
      <c r="AJ110">
        <v>0</v>
      </c>
      <c r="AK110">
        <v>0</v>
      </c>
      <c r="AL110">
        <v>1189172</v>
      </c>
      <c r="AM110">
        <v>0</v>
      </c>
      <c r="AN110">
        <v>0</v>
      </c>
      <c r="AO110">
        <v>0</v>
      </c>
      <c r="AP110">
        <v>243668</v>
      </c>
      <c r="AQ110">
        <v>0</v>
      </c>
      <c r="AR110">
        <v>0</v>
      </c>
      <c r="AS110">
        <v>0</v>
      </c>
      <c r="AT110">
        <v>0</v>
      </c>
      <c r="AU110">
        <v>6562143</v>
      </c>
      <c r="AV110">
        <v>2041262</v>
      </c>
      <c r="AW110">
        <v>0</v>
      </c>
      <c r="AX110">
        <v>0</v>
      </c>
      <c r="AY110">
        <v>0</v>
      </c>
      <c r="BA110">
        <v>0</v>
      </c>
      <c r="BB110">
        <v>51886</v>
      </c>
      <c r="BC110">
        <v>0</v>
      </c>
      <c r="BD110">
        <v>0</v>
      </c>
      <c r="BE110">
        <v>0</v>
      </c>
      <c r="BF110">
        <v>22071</v>
      </c>
      <c r="BG110">
        <v>0</v>
      </c>
      <c r="BH110">
        <v>50181</v>
      </c>
      <c r="BI110">
        <v>0</v>
      </c>
      <c r="BJ110">
        <v>0</v>
      </c>
      <c r="BK110">
        <v>0</v>
      </c>
      <c r="BL110">
        <v>213205</v>
      </c>
      <c r="BM110">
        <v>1326130</v>
      </c>
      <c r="BN110">
        <v>856</v>
      </c>
      <c r="BO110">
        <v>567457</v>
      </c>
      <c r="BP110">
        <v>0</v>
      </c>
      <c r="BQ110">
        <v>0</v>
      </c>
      <c r="BR110">
        <v>169755</v>
      </c>
      <c r="BS110" s="180">
        <v>0</v>
      </c>
      <c r="BT110" s="180">
        <v>485</v>
      </c>
      <c r="BU110" s="180">
        <v>0</v>
      </c>
      <c r="BV110" s="180">
        <v>0</v>
      </c>
      <c r="BW110" s="180">
        <v>283821</v>
      </c>
      <c r="BX110" s="180">
        <v>0</v>
      </c>
      <c r="BY110" s="180">
        <v>81194</v>
      </c>
      <c r="BZ110" s="180">
        <v>0</v>
      </c>
      <c r="CA110" s="180">
        <v>0</v>
      </c>
      <c r="CB110" s="180">
        <v>0</v>
      </c>
      <c r="CC110" s="180">
        <v>0</v>
      </c>
      <c r="CD110" s="180">
        <v>0</v>
      </c>
      <c r="CE110" s="180"/>
      <c r="CF110" s="180"/>
      <c r="CG110" s="180"/>
      <c r="CH110" s="180"/>
      <c r="CI110" s="180"/>
      <c r="CJ110" s="180"/>
      <c r="CK110" s="180"/>
      <c r="CL110" s="180"/>
      <c r="CM110" s="180"/>
      <c r="CN110" s="180"/>
      <c r="CO110" s="180"/>
      <c r="CP110" s="180"/>
      <c r="CQ110" s="180"/>
      <c r="CR110" s="180"/>
      <c r="CS110" s="180"/>
      <c r="CT110" s="180"/>
      <c r="CU110" s="180"/>
    </row>
    <row r="111" spans="1:99" x14ac:dyDescent="0.3">
      <c r="A111">
        <v>511</v>
      </c>
      <c r="B111" s="551" t="s">
        <v>216</v>
      </c>
      <c r="E111">
        <v>0</v>
      </c>
      <c r="F111">
        <v>0</v>
      </c>
      <c r="G111">
        <v>0</v>
      </c>
      <c r="H111">
        <v>0</v>
      </c>
      <c r="I111">
        <v>0</v>
      </c>
      <c r="J111">
        <v>0</v>
      </c>
      <c r="K111">
        <v>0</v>
      </c>
      <c r="L111">
        <v>238679</v>
      </c>
      <c r="M111" s="551">
        <v>0</v>
      </c>
      <c r="N111">
        <v>0</v>
      </c>
      <c r="O111">
        <v>0</v>
      </c>
      <c r="P111">
        <v>0</v>
      </c>
      <c r="Q111">
        <v>9601</v>
      </c>
      <c r="R111">
        <v>0</v>
      </c>
      <c r="S111">
        <v>13588</v>
      </c>
      <c r="T111">
        <v>0</v>
      </c>
      <c r="U111">
        <v>0</v>
      </c>
      <c r="V111">
        <v>0</v>
      </c>
      <c r="W111">
        <v>0</v>
      </c>
      <c r="X111">
        <v>0</v>
      </c>
      <c r="Y111">
        <v>0</v>
      </c>
      <c r="Z111">
        <v>0</v>
      </c>
      <c r="AA111">
        <v>0</v>
      </c>
      <c r="AB111">
        <v>0</v>
      </c>
      <c r="AC111">
        <v>0</v>
      </c>
      <c r="AD111">
        <v>0</v>
      </c>
      <c r="AF111">
        <v>2052828</v>
      </c>
      <c r="AG111">
        <v>0</v>
      </c>
      <c r="AH111">
        <v>0</v>
      </c>
      <c r="AI111">
        <v>0</v>
      </c>
      <c r="AJ111">
        <v>0</v>
      </c>
      <c r="AK111">
        <v>0</v>
      </c>
      <c r="AL111">
        <v>0</v>
      </c>
      <c r="AM111">
        <v>0</v>
      </c>
      <c r="AN111">
        <v>0</v>
      </c>
      <c r="AO111">
        <v>0</v>
      </c>
      <c r="AP111">
        <v>711317</v>
      </c>
      <c r="AQ111">
        <v>0</v>
      </c>
      <c r="AR111">
        <v>0</v>
      </c>
      <c r="AS111">
        <v>0</v>
      </c>
      <c r="AT111">
        <v>0</v>
      </c>
      <c r="AU111">
        <v>0</v>
      </c>
      <c r="AV111">
        <v>14127867</v>
      </c>
      <c r="AW111">
        <v>0</v>
      </c>
      <c r="AX111">
        <v>0</v>
      </c>
      <c r="AY111">
        <v>0</v>
      </c>
      <c r="BA111">
        <v>0</v>
      </c>
      <c r="BB111">
        <v>0</v>
      </c>
      <c r="BC111">
        <v>0</v>
      </c>
      <c r="BD111">
        <v>0</v>
      </c>
      <c r="BE111">
        <v>0</v>
      </c>
      <c r="BF111">
        <v>0</v>
      </c>
      <c r="BG111">
        <v>0</v>
      </c>
      <c r="BH111">
        <v>0</v>
      </c>
      <c r="BI111">
        <v>0</v>
      </c>
      <c r="BJ111">
        <v>0</v>
      </c>
      <c r="BK111">
        <v>0</v>
      </c>
      <c r="BL111">
        <v>0</v>
      </c>
      <c r="BM111">
        <v>0</v>
      </c>
      <c r="BN111">
        <v>0</v>
      </c>
      <c r="BO111">
        <v>0</v>
      </c>
      <c r="BP111">
        <v>10668755</v>
      </c>
      <c r="BQ111">
        <v>0</v>
      </c>
      <c r="BR111">
        <v>417662</v>
      </c>
      <c r="BS111" s="180">
        <v>0</v>
      </c>
      <c r="BT111" s="180">
        <v>0</v>
      </c>
      <c r="BU111" s="180">
        <v>0</v>
      </c>
      <c r="BV111" s="180">
        <v>0</v>
      </c>
      <c r="BW111" s="180">
        <v>0</v>
      </c>
      <c r="BX111" s="180">
        <v>0</v>
      </c>
      <c r="BY111" s="180">
        <v>0</v>
      </c>
      <c r="BZ111" s="180">
        <v>0</v>
      </c>
      <c r="CA111" s="180">
        <v>0</v>
      </c>
      <c r="CB111" s="180">
        <v>0</v>
      </c>
      <c r="CC111" s="180">
        <v>0</v>
      </c>
      <c r="CD111" s="180">
        <v>317210</v>
      </c>
      <c r="CE111" s="180"/>
      <c r="CF111" s="180"/>
      <c r="CG111" s="180"/>
      <c r="CH111" s="180"/>
      <c r="CI111" s="180"/>
      <c r="CJ111" s="180"/>
      <c r="CK111" s="180"/>
      <c r="CL111" s="180"/>
      <c r="CM111" s="180"/>
      <c r="CN111" s="180"/>
      <c r="CO111" s="180"/>
      <c r="CP111" s="180"/>
      <c r="CQ111" s="180"/>
      <c r="CR111" s="180"/>
      <c r="CS111" s="180"/>
      <c r="CT111" s="180"/>
      <c r="CU111" s="180"/>
    </row>
    <row r="112" spans="1:99" x14ac:dyDescent="0.3">
      <c r="A112">
        <v>512</v>
      </c>
      <c r="B112" t="s">
        <v>243</v>
      </c>
      <c r="E112">
        <v>0</v>
      </c>
      <c r="F112">
        <v>0</v>
      </c>
      <c r="G112">
        <v>0</v>
      </c>
      <c r="H112">
        <v>0</v>
      </c>
      <c r="I112">
        <v>0</v>
      </c>
      <c r="J112">
        <v>0</v>
      </c>
      <c r="K112">
        <v>0</v>
      </c>
      <c r="L112">
        <v>23628</v>
      </c>
      <c r="M112" s="1054">
        <v>2266172</v>
      </c>
      <c r="N112">
        <v>0</v>
      </c>
      <c r="O112">
        <v>0</v>
      </c>
      <c r="P112">
        <v>0</v>
      </c>
      <c r="Q112">
        <v>0</v>
      </c>
      <c r="R112">
        <v>0</v>
      </c>
      <c r="S112">
        <v>0</v>
      </c>
      <c r="T112">
        <v>0</v>
      </c>
      <c r="U112">
        <v>0</v>
      </c>
      <c r="V112">
        <v>0</v>
      </c>
      <c r="W112">
        <v>0</v>
      </c>
      <c r="X112">
        <v>0</v>
      </c>
      <c r="Y112">
        <v>0</v>
      </c>
      <c r="Z112">
        <v>0</v>
      </c>
      <c r="AA112">
        <v>0</v>
      </c>
      <c r="AB112">
        <v>0</v>
      </c>
      <c r="AC112">
        <v>0</v>
      </c>
      <c r="AD112">
        <v>0</v>
      </c>
      <c r="AF112">
        <v>0</v>
      </c>
      <c r="AG112">
        <v>0</v>
      </c>
      <c r="AH112">
        <v>0</v>
      </c>
      <c r="AI112">
        <v>0</v>
      </c>
      <c r="AJ112">
        <v>0</v>
      </c>
      <c r="AK112">
        <v>0</v>
      </c>
      <c r="AL112">
        <v>0</v>
      </c>
      <c r="AM112">
        <v>0</v>
      </c>
      <c r="AN112">
        <v>0</v>
      </c>
      <c r="AO112">
        <v>0</v>
      </c>
      <c r="AP112">
        <v>0</v>
      </c>
      <c r="AQ112">
        <v>0</v>
      </c>
      <c r="AR112">
        <v>0</v>
      </c>
      <c r="AS112">
        <v>0</v>
      </c>
      <c r="AT112">
        <v>0</v>
      </c>
      <c r="AU112">
        <v>43219145</v>
      </c>
      <c r="AV112">
        <v>17528121</v>
      </c>
      <c r="AW112">
        <v>0</v>
      </c>
      <c r="AX112">
        <v>0</v>
      </c>
      <c r="AY112">
        <v>0</v>
      </c>
      <c r="BA112">
        <v>0</v>
      </c>
      <c r="BB112">
        <v>0</v>
      </c>
      <c r="BC112">
        <v>0</v>
      </c>
      <c r="BD112">
        <v>0</v>
      </c>
      <c r="BE112">
        <v>0</v>
      </c>
      <c r="BF112">
        <v>0</v>
      </c>
      <c r="BG112">
        <v>0</v>
      </c>
      <c r="BH112">
        <v>0</v>
      </c>
      <c r="BI112">
        <v>0</v>
      </c>
      <c r="BJ112">
        <v>0</v>
      </c>
      <c r="BK112">
        <v>0</v>
      </c>
      <c r="BL112">
        <v>0</v>
      </c>
      <c r="BM112">
        <v>174308</v>
      </c>
      <c r="BN112">
        <v>0</v>
      </c>
      <c r="BO112">
        <v>0</v>
      </c>
      <c r="BP112">
        <v>0</v>
      </c>
      <c r="BQ112">
        <v>0</v>
      </c>
      <c r="BR112">
        <v>1725488</v>
      </c>
      <c r="BS112" s="180">
        <v>0</v>
      </c>
      <c r="BT112" s="180">
        <v>0</v>
      </c>
      <c r="BU112" s="180">
        <v>0</v>
      </c>
      <c r="BV112" s="180">
        <v>0</v>
      </c>
      <c r="BW112" s="180">
        <v>0</v>
      </c>
      <c r="BX112" s="180">
        <v>0</v>
      </c>
      <c r="BY112" s="180">
        <v>801434</v>
      </c>
      <c r="BZ112" s="180">
        <v>0</v>
      </c>
      <c r="CA112" s="180">
        <v>0</v>
      </c>
      <c r="CB112" s="180">
        <v>0</v>
      </c>
      <c r="CC112" s="180">
        <v>0</v>
      </c>
      <c r="CD112" s="180">
        <v>0</v>
      </c>
      <c r="CE112" s="180"/>
      <c r="CF112" s="180"/>
      <c r="CG112" s="180"/>
      <c r="CH112" s="180"/>
      <c r="CI112" s="180"/>
      <c r="CJ112" s="180"/>
      <c r="CK112" s="180"/>
      <c r="CL112" s="180"/>
      <c r="CM112" s="180"/>
      <c r="CN112" s="180"/>
      <c r="CO112" s="180"/>
      <c r="CP112" s="180"/>
      <c r="CQ112" s="180"/>
      <c r="CR112" s="180"/>
      <c r="CS112" s="180"/>
      <c r="CT112" s="180"/>
      <c r="CU112" s="180"/>
    </row>
    <row r="113" spans="1:99" x14ac:dyDescent="0.3">
      <c r="A113">
        <v>513</v>
      </c>
      <c r="B113" t="s">
        <v>249</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s="180">
        <v>0</v>
      </c>
      <c r="BT113" s="180">
        <v>0</v>
      </c>
      <c r="BU113" s="180">
        <v>0</v>
      </c>
      <c r="BV113" s="180">
        <v>0</v>
      </c>
      <c r="BW113" s="180">
        <v>0</v>
      </c>
      <c r="BX113" s="180">
        <v>0</v>
      </c>
      <c r="BY113" s="180">
        <v>0</v>
      </c>
      <c r="BZ113" s="180">
        <v>0</v>
      </c>
      <c r="CA113" s="180">
        <v>0</v>
      </c>
      <c r="CB113" s="180">
        <v>0</v>
      </c>
      <c r="CC113" s="180">
        <v>0</v>
      </c>
      <c r="CD113" s="180">
        <v>0</v>
      </c>
      <c r="CE113" s="180"/>
      <c r="CF113" s="180"/>
      <c r="CG113" s="180"/>
      <c r="CH113" s="180"/>
      <c r="CI113" s="180"/>
      <c r="CJ113" s="180"/>
      <c r="CK113" s="180"/>
      <c r="CL113" s="180"/>
      <c r="CM113" s="180"/>
      <c r="CN113" s="180"/>
      <c r="CO113" s="180"/>
      <c r="CP113" s="180"/>
      <c r="CQ113" s="180"/>
      <c r="CR113" s="180"/>
      <c r="CS113" s="180"/>
      <c r="CT113" s="180"/>
      <c r="CU113" s="180"/>
    </row>
    <row r="114" spans="1:99" x14ac:dyDescent="0.3">
      <c r="A114">
        <v>514</v>
      </c>
      <c r="B114" t="s">
        <v>250</v>
      </c>
      <c r="E114">
        <v>0</v>
      </c>
      <c r="F114">
        <v>0</v>
      </c>
      <c r="G114">
        <v>0</v>
      </c>
      <c r="H114">
        <v>0</v>
      </c>
      <c r="I114">
        <v>0</v>
      </c>
      <c r="J114">
        <v>0</v>
      </c>
      <c r="K114">
        <v>0</v>
      </c>
      <c r="L114">
        <v>361089</v>
      </c>
      <c r="M114">
        <v>0</v>
      </c>
      <c r="N114">
        <v>0</v>
      </c>
      <c r="O114">
        <v>0</v>
      </c>
      <c r="P114">
        <v>0</v>
      </c>
      <c r="Q114">
        <v>0</v>
      </c>
      <c r="R114">
        <v>0</v>
      </c>
      <c r="S114">
        <v>0</v>
      </c>
      <c r="T114">
        <v>0</v>
      </c>
      <c r="U114">
        <v>0</v>
      </c>
      <c r="V114">
        <v>0</v>
      </c>
      <c r="W114">
        <v>0</v>
      </c>
      <c r="X114">
        <v>0</v>
      </c>
      <c r="Y114">
        <v>0</v>
      </c>
      <c r="Z114">
        <v>0</v>
      </c>
      <c r="AA114">
        <v>0</v>
      </c>
      <c r="AB114">
        <v>0</v>
      </c>
      <c r="AC114">
        <v>0</v>
      </c>
      <c r="AD114">
        <v>0</v>
      </c>
      <c r="AF114">
        <v>2873866</v>
      </c>
      <c r="AG114">
        <v>0</v>
      </c>
      <c r="AH114">
        <v>0</v>
      </c>
      <c r="AI114">
        <v>0</v>
      </c>
      <c r="AJ114">
        <v>0</v>
      </c>
      <c r="AK114">
        <v>0</v>
      </c>
      <c r="AL114">
        <v>0</v>
      </c>
      <c r="AM114">
        <v>0</v>
      </c>
      <c r="AN114">
        <v>0</v>
      </c>
      <c r="AO114">
        <v>0</v>
      </c>
      <c r="AP114">
        <v>0</v>
      </c>
      <c r="AQ114">
        <v>0</v>
      </c>
      <c r="AR114">
        <v>0</v>
      </c>
      <c r="AS114">
        <v>0</v>
      </c>
      <c r="AT114">
        <v>0</v>
      </c>
      <c r="AU114">
        <v>0</v>
      </c>
      <c r="AV114">
        <v>5388913</v>
      </c>
      <c r="AW114">
        <v>0</v>
      </c>
      <c r="AX114">
        <v>0</v>
      </c>
      <c r="AY114">
        <v>0</v>
      </c>
      <c r="BA114">
        <v>0</v>
      </c>
      <c r="BB114">
        <v>0</v>
      </c>
      <c r="BC114">
        <v>0</v>
      </c>
      <c r="BD114">
        <v>0</v>
      </c>
      <c r="BE114">
        <v>0</v>
      </c>
      <c r="BF114">
        <v>0</v>
      </c>
      <c r="BG114">
        <v>0</v>
      </c>
      <c r="BH114">
        <v>0</v>
      </c>
      <c r="BI114">
        <v>0</v>
      </c>
      <c r="BJ114">
        <v>0</v>
      </c>
      <c r="BK114">
        <v>0</v>
      </c>
      <c r="BL114">
        <v>0</v>
      </c>
      <c r="BM114">
        <v>0</v>
      </c>
      <c r="BN114">
        <v>0</v>
      </c>
      <c r="BO114">
        <v>0</v>
      </c>
      <c r="BP114">
        <v>2116151</v>
      </c>
      <c r="BQ114">
        <v>0</v>
      </c>
      <c r="BR114">
        <v>0</v>
      </c>
      <c r="BS114" s="180">
        <v>0</v>
      </c>
      <c r="BT114" s="180">
        <v>0</v>
      </c>
      <c r="BU114" s="180">
        <v>7000</v>
      </c>
      <c r="BV114" s="180">
        <v>0</v>
      </c>
      <c r="BW114" s="180">
        <v>0</v>
      </c>
      <c r="BX114" s="180">
        <v>0</v>
      </c>
      <c r="BY114" s="180">
        <v>0</v>
      </c>
      <c r="BZ114" s="180">
        <v>22000</v>
      </c>
      <c r="CA114" s="180">
        <v>0</v>
      </c>
      <c r="CB114" s="180">
        <v>0</v>
      </c>
      <c r="CC114" s="180">
        <v>0</v>
      </c>
      <c r="CD114" s="180">
        <v>0</v>
      </c>
      <c r="CE114" s="180"/>
      <c r="CF114" s="180"/>
      <c r="CG114" s="180"/>
      <c r="CH114" s="180"/>
      <c r="CI114" s="180"/>
      <c r="CJ114" s="180"/>
      <c r="CK114" s="180"/>
      <c r="CL114" s="180"/>
      <c r="CM114" s="180"/>
      <c r="CN114" s="180"/>
      <c r="CO114" s="180"/>
      <c r="CP114" s="180"/>
      <c r="CQ114" s="180"/>
      <c r="CR114" s="180"/>
      <c r="CS114" s="180"/>
      <c r="CT114" s="180"/>
      <c r="CU114" s="180"/>
    </row>
    <row r="115" spans="1:99" x14ac:dyDescent="0.3">
      <c r="A115">
        <v>515</v>
      </c>
      <c r="B115" t="s">
        <v>262</v>
      </c>
      <c r="E115">
        <v>12755</v>
      </c>
      <c r="F115">
        <v>0</v>
      </c>
      <c r="G115">
        <v>542319</v>
      </c>
      <c r="H115">
        <v>0</v>
      </c>
      <c r="I115">
        <v>0</v>
      </c>
      <c r="J115">
        <v>0</v>
      </c>
      <c r="K115">
        <v>0</v>
      </c>
      <c r="L115">
        <v>0</v>
      </c>
      <c r="M115">
        <v>0</v>
      </c>
      <c r="N115">
        <v>0</v>
      </c>
      <c r="O115">
        <v>0</v>
      </c>
      <c r="P115">
        <v>0</v>
      </c>
      <c r="Q115">
        <v>0</v>
      </c>
      <c r="R115">
        <v>0</v>
      </c>
      <c r="S115">
        <v>0</v>
      </c>
      <c r="T115">
        <v>189661</v>
      </c>
      <c r="U115">
        <v>0</v>
      </c>
      <c r="V115">
        <v>1336485</v>
      </c>
      <c r="W115">
        <v>0</v>
      </c>
      <c r="X115">
        <v>7792806</v>
      </c>
      <c r="Y115">
        <v>0</v>
      </c>
      <c r="Z115">
        <v>155000</v>
      </c>
      <c r="AA115">
        <v>0</v>
      </c>
      <c r="AB115">
        <v>0</v>
      </c>
      <c r="AC115">
        <v>0</v>
      </c>
      <c r="AD115">
        <v>0</v>
      </c>
      <c r="AF115">
        <v>137621238</v>
      </c>
      <c r="AG115">
        <v>0</v>
      </c>
      <c r="AH115">
        <v>0</v>
      </c>
      <c r="AI115">
        <v>129875</v>
      </c>
      <c r="AJ115">
        <v>0</v>
      </c>
      <c r="AK115">
        <v>0</v>
      </c>
      <c r="AL115">
        <v>0</v>
      </c>
      <c r="AM115">
        <v>0</v>
      </c>
      <c r="AN115">
        <v>17696444</v>
      </c>
      <c r="AO115">
        <v>0</v>
      </c>
      <c r="AP115">
        <v>0</v>
      </c>
      <c r="AQ115">
        <v>0</v>
      </c>
      <c r="AR115">
        <v>0</v>
      </c>
      <c r="AS115">
        <v>0</v>
      </c>
      <c r="AT115">
        <v>371872</v>
      </c>
      <c r="AU115">
        <v>279835126</v>
      </c>
      <c r="AV115">
        <v>24468170</v>
      </c>
      <c r="AW115">
        <v>0</v>
      </c>
      <c r="AX115">
        <v>4696455</v>
      </c>
      <c r="AY115">
        <v>1017710</v>
      </c>
      <c r="BA115">
        <v>0</v>
      </c>
      <c r="BB115">
        <v>89132</v>
      </c>
      <c r="BC115">
        <v>0</v>
      </c>
      <c r="BD115">
        <v>0</v>
      </c>
      <c r="BE115">
        <v>0</v>
      </c>
      <c r="BF115">
        <v>7552422</v>
      </c>
      <c r="BG115">
        <v>0</v>
      </c>
      <c r="BH115">
        <v>0</v>
      </c>
      <c r="BI115">
        <v>0</v>
      </c>
      <c r="BJ115">
        <v>0</v>
      </c>
      <c r="BK115">
        <v>0</v>
      </c>
      <c r="BL115">
        <v>33104364</v>
      </c>
      <c r="BM115">
        <v>1944239</v>
      </c>
      <c r="BN115">
        <v>1700</v>
      </c>
      <c r="BO115">
        <v>48189212</v>
      </c>
      <c r="BP115">
        <v>74541190</v>
      </c>
      <c r="BQ115">
        <v>1057</v>
      </c>
      <c r="BR115">
        <v>0</v>
      </c>
      <c r="BS115" s="180">
        <v>0</v>
      </c>
      <c r="BT115" s="180">
        <v>38994136</v>
      </c>
      <c r="BU115" s="180">
        <v>0</v>
      </c>
      <c r="BV115" s="180">
        <v>0</v>
      </c>
      <c r="BW115" s="180">
        <v>0</v>
      </c>
      <c r="BX115" s="180">
        <v>0</v>
      </c>
      <c r="BY115" s="180">
        <v>204461</v>
      </c>
      <c r="BZ115" s="180">
        <v>0</v>
      </c>
      <c r="CA115" s="180">
        <v>0</v>
      </c>
      <c r="CB115" s="180">
        <v>118409</v>
      </c>
      <c r="CC115" s="180">
        <v>0</v>
      </c>
      <c r="CD115" s="180">
        <v>0</v>
      </c>
      <c r="CE115" s="180"/>
      <c r="CF115" s="180"/>
      <c r="CG115" s="180"/>
      <c r="CH115" s="180"/>
      <c r="CI115" s="180"/>
      <c r="CJ115" s="180"/>
      <c r="CK115" s="180"/>
      <c r="CL115" s="180"/>
      <c r="CM115" s="180"/>
      <c r="CN115" s="180"/>
      <c r="CO115" s="180"/>
      <c r="CP115" s="180"/>
      <c r="CQ115" s="180"/>
      <c r="CR115" s="180"/>
      <c r="CS115" s="180"/>
      <c r="CT115" s="180"/>
      <c r="CU115" s="180"/>
    </row>
    <row r="116" spans="1:99" x14ac:dyDescent="0.3">
      <c r="A116">
        <v>516</v>
      </c>
      <c r="B116" t="s">
        <v>263</v>
      </c>
      <c r="E116">
        <v>15732651</v>
      </c>
      <c r="F116">
        <v>0</v>
      </c>
      <c r="G116">
        <v>14553985</v>
      </c>
      <c r="H116">
        <v>8235228</v>
      </c>
      <c r="I116">
        <v>1077125</v>
      </c>
      <c r="J116">
        <v>0</v>
      </c>
      <c r="K116">
        <v>6184546</v>
      </c>
      <c r="L116">
        <v>56868221</v>
      </c>
      <c r="M116">
        <v>0</v>
      </c>
      <c r="N116">
        <v>0</v>
      </c>
      <c r="O116">
        <v>0</v>
      </c>
      <c r="P116">
        <v>4011512</v>
      </c>
      <c r="Q116">
        <v>62699693</v>
      </c>
      <c r="R116">
        <v>0</v>
      </c>
      <c r="S116">
        <v>7253678</v>
      </c>
      <c r="T116">
        <v>4728629</v>
      </c>
      <c r="U116">
        <v>1882509</v>
      </c>
      <c r="V116">
        <v>34549990</v>
      </c>
      <c r="W116">
        <v>0</v>
      </c>
      <c r="X116">
        <v>0</v>
      </c>
      <c r="Y116">
        <v>15551130</v>
      </c>
      <c r="Z116">
        <v>50591762</v>
      </c>
      <c r="AA116">
        <v>2780186</v>
      </c>
      <c r="AB116">
        <v>4495370</v>
      </c>
      <c r="AC116">
        <v>0</v>
      </c>
      <c r="AD116">
        <v>0</v>
      </c>
      <c r="AF116">
        <v>225762232</v>
      </c>
      <c r="AG116">
        <v>0</v>
      </c>
      <c r="AH116">
        <v>2337098</v>
      </c>
      <c r="AI116">
        <v>4307113</v>
      </c>
      <c r="AJ116">
        <v>2871297</v>
      </c>
      <c r="AK116">
        <v>268756</v>
      </c>
      <c r="AL116">
        <v>174506275</v>
      </c>
      <c r="AM116">
        <v>0</v>
      </c>
      <c r="AN116">
        <v>23463499</v>
      </c>
      <c r="AO116">
        <v>0</v>
      </c>
      <c r="AP116">
        <v>26442885</v>
      </c>
      <c r="AQ116">
        <v>0</v>
      </c>
      <c r="AR116">
        <v>0</v>
      </c>
      <c r="AS116">
        <v>6788103</v>
      </c>
      <c r="AT116">
        <v>5989999</v>
      </c>
      <c r="AU116">
        <v>74628709</v>
      </c>
      <c r="AV116">
        <v>480183211</v>
      </c>
      <c r="AW116">
        <v>8399851</v>
      </c>
      <c r="AX116">
        <v>0</v>
      </c>
      <c r="AY116">
        <v>2409677</v>
      </c>
      <c r="BA116">
        <v>4396510</v>
      </c>
      <c r="BB116">
        <v>18411411</v>
      </c>
      <c r="BC116">
        <v>4216086</v>
      </c>
      <c r="BD116">
        <v>0</v>
      </c>
      <c r="BE116">
        <v>1684434</v>
      </c>
      <c r="BF116">
        <v>43244053</v>
      </c>
      <c r="BG116">
        <v>0</v>
      </c>
      <c r="BH116">
        <v>46686491</v>
      </c>
      <c r="BI116">
        <v>9286867</v>
      </c>
      <c r="BJ116">
        <v>0</v>
      </c>
      <c r="BK116">
        <v>0</v>
      </c>
      <c r="BL116">
        <v>88037398</v>
      </c>
      <c r="BM116">
        <v>129640995</v>
      </c>
      <c r="BN116">
        <v>23268610</v>
      </c>
      <c r="BO116">
        <v>37751939</v>
      </c>
      <c r="BP116">
        <v>0</v>
      </c>
      <c r="BQ116">
        <v>6670017</v>
      </c>
      <c r="BR116">
        <v>39894447</v>
      </c>
      <c r="BS116" s="180">
        <v>0</v>
      </c>
      <c r="BT116" s="180">
        <v>37057758</v>
      </c>
      <c r="BU116" s="180">
        <v>5006242</v>
      </c>
      <c r="BV116" s="180">
        <v>0</v>
      </c>
      <c r="BW116" s="180">
        <v>26120667</v>
      </c>
      <c r="BX116" s="180">
        <v>0</v>
      </c>
      <c r="BY116" s="180">
        <v>0</v>
      </c>
      <c r="BZ116" s="180">
        <v>3669130</v>
      </c>
      <c r="CA116" s="180">
        <v>0</v>
      </c>
      <c r="CB116" s="180">
        <v>2710156</v>
      </c>
      <c r="CC116" s="180">
        <v>0</v>
      </c>
      <c r="CD116" s="180">
        <v>0</v>
      </c>
      <c r="CE116" s="180"/>
      <c r="CF116" s="180"/>
      <c r="CG116" s="180"/>
      <c r="CH116" s="180"/>
      <c r="CI116" s="180"/>
      <c r="CJ116" s="180"/>
      <c r="CK116" s="180"/>
      <c r="CL116" s="180"/>
      <c r="CM116" s="180"/>
      <c r="CN116" s="180"/>
      <c r="CO116" s="180"/>
      <c r="CP116" s="180"/>
      <c r="CQ116" s="180"/>
      <c r="CR116" s="180"/>
      <c r="CS116" s="180"/>
      <c r="CT116" s="180"/>
      <c r="CU116" s="180"/>
    </row>
    <row r="117" spans="1:99" x14ac:dyDescent="0.3">
      <c r="A117">
        <v>517</v>
      </c>
      <c r="B117" t="s">
        <v>264</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128029289</v>
      </c>
      <c r="AA117">
        <v>0</v>
      </c>
      <c r="AB117">
        <v>0</v>
      </c>
      <c r="AC117">
        <v>0</v>
      </c>
      <c r="AD117">
        <v>0</v>
      </c>
      <c r="AF117">
        <v>0</v>
      </c>
      <c r="AG117">
        <v>0</v>
      </c>
      <c r="AH117">
        <v>0</v>
      </c>
      <c r="AI117">
        <v>0</v>
      </c>
      <c r="AJ117">
        <v>0</v>
      </c>
      <c r="AK117">
        <v>0</v>
      </c>
      <c r="AL117">
        <v>0</v>
      </c>
      <c r="AM117">
        <v>7650432</v>
      </c>
      <c r="AN117">
        <v>17603130</v>
      </c>
      <c r="AO117">
        <v>0</v>
      </c>
      <c r="AP117">
        <v>0</v>
      </c>
      <c r="AQ117">
        <v>0</v>
      </c>
      <c r="AR117">
        <v>0</v>
      </c>
      <c r="AS117">
        <v>0</v>
      </c>
      <c r="AT117">
        <v>0</v>
      </c>
      <c r="AU117">
        <v>727580480</v>
      </c>
      <c r="AV117">
        <v>0</v>
      </c>
      <c r="AW117">
        <v>0</v>
      </c>
      <c r="AX117">
        <v>0</v>
      </c>
      <c r="AY117">
        <v>0</v>
      </c>
      <c r="BA117">
        <v>0</v>
      </c>
      <c r="BB117">
        <v>0</v>
      </c>
      <c r="BC117">
        <v>0</v>
      </c>
      <c r="BD117">
        <v>0</v>
      </c>
      <c r="BE117">
        <v>0</v>
      </c>
      <c r="BF117">
        <v>0</v>
      </c>
      <c r="BG117">
        <v>0</v>
      </c>
      <c r="BH117">
        <v>0</v>
      </c>
      <c r="BI117">
        <v>0</v>
      </c>
      <c r="BJ117">
        <v>0</v>
      </c>
      <c r="BK117">
        <v>0</v>
      </c>
      <c r="BL117">
        <v>0</v>
      </c>
      <c r="BM117">
        <v>0</v>
      </c>
      <c r="BN117">
        <v>0</v>
      </c>
      <c r="BO117">
        <v>110797952</v>
      </c>
      <c r="BP117">
        <v>500568177</v>
      </c>
      <c r="BQ117">
        <v>0</v>
      </c>
      <c r="BR117">
        <v>203500</v>
      </c>
      <c r="BS117" s="180">
        <v>0</v>
      </c>
      <c r="BT117" s="180">
        <v>1320604</v>
      </c>
      <c r="BU117" s="180">
        <v>0</v>
      </c>
      <c r="BV117" s="180">
        <v>3058454</v>
      </c>
      <c r="BW117" s="180">
        <v>184026</v>
      </c>
      <c r="BX117" s="180">
        <v>0</v>
      </c>
      <c r="BY117" s="180">
        <v>170211869</v>
      </c>
      <c r="BZ117" s="180">
        <v>0</v>
      </c>
      <c r="CA117" s="180">
        <v>0</v>
      </c>
      <c r="CB117" s="180">
        <v>0</v>
      </c>
      <c r="CC117" s="180">
        <v>0</v>
      </c>
      <c r="CD117" s="180">
        <v>0</v>
      </c>
      <c r="CE117" s="180"/>
      <c r="CF117" s="180"/>
      <c r="CG117" s="180"/>
      <c r="CH117" s="180"/>
      <c r="CI117" s="180"/>
      <c r="CJ117" s="180"/>
      <c r="CK117" s="180"/>
      <c r="CL117" s="180"/>
      <c r="CM117" s="180"/>
      <c r="CN117" s="180"/>
      <c r="CO117" s="180"/>
      <c r="CP117" s="180"/>
      <c r="CQ117" s="180"/>
      <c r="CR117" s="180"/>
      <c r="CS117" s="180"/>
      <c r="CT117" s="180"/>
      <c r="CU117" s="180"/>
    </row>
    <row r="118" spans="1:99" s="180" customFormat="1" x14ac:dyDescent="0.3">
      <c r="A118">
        <v>518</v>
      </c>
      <c r="B118" t="s">
        <v>265</v>
      </c>
      <c r="C118"/>
      <c r="D118"/>
      <c r="E118">
        <v>844203</v>
      </c>
      <c r="F118">
        <v>0</v>
      </c>
      <c r="G118">
        <v>619493</v>
      </c>
      <c r="H118">
        <v>43672</v>
      </c>
      <c r="I118">
        <v>0</v>
      </c>
      <c r="J118">
        <v>0</v>
      </c>
      <c r="K118">
        <v>0</v>
      </c>
      <c r="L118">
        <v>2445216</v>
      </c>
      <c r="M118">
        <v>0</v>
      </c>
      <c r="N118">
        <v>0</v>
      </c>
      <c r="O118">
        <v>0</v>
      </c>
      <c r="P118">
        <v>20608</v>
      </c>
      <c r="Q118">
        <v>9220756</v>
      </c>
      <c r="R118">
        <v>0</v>
      </c>
      <c r="S118">
        <v>110299</v>
      </c>
      <c r="T118">
        <v>709652</v>
      </c>
      <c r="U118">
        <v>243699</v>
      </c>
      <c r="V118">
        <v>2186048</v>
      </c>
      <c r="W118">
        <v>0</v>
      </c>
      <c r="X118">
        <v>535734</v>
      </c>
      <c r="Y118">
        <v>337016</v>
      </c>
      <c r="Z118">
        <v>3711688</v>
      </c>
      <c r="AA118">
        <v>0</v>
      </c>
      <c r="AB118">
        <v>458516</v>
      </c>
      <c r="AC118">
        <v>0</v>
      </c>
      <c r="AD118">
        <v>0</v>
      </c>
      <c r="AE118"/>
      <c r="AF118">
        <v>21452939</v>
      </c>
      <c r="AG118">
        <v>0</v>
      </c>
      <c r="AH118">
        <v>90477</v>
      </c>
      <c r="AI118">
        <v>687072</v>
      </c>
      <c r="AJ118">
        <v>0</v>
      </c>
      <c r="AK118">
        <v>3358</v>
      </c>
      <c r="AL118">
        <v>14247177</v>
      </c>
      <c r="AM118">
        <v>0</v>
      </c>
      <c r="AN118">
        <v>4452866</v>
      </c>
      <c r="AO118">
        <v>0</v>
      </c>
      <c r="AP118">
        <v>2619217</v>
      </c>
      <c r="AQ118">
        <v>0</v>
      </c>
      <c r="AR118">
        <v>0</v>
      </c>
      <c r="AS118">
        <v>338629</v>
      </c>
      <c r="AT118">
        <v>15297</v>
      </c>
      <c r="AU118">
        <v>162477508</v>
      </c>
      <c r="AV118">
        <v>28537234</v>
      </c>
      <c r="AW118">
        <v>382088</v>
      </c>
      <c r="AX118">
        <v>213480</v>
      </c>
      <c r="AY118">
        <v>313800</v>
      </c>
      <c r="AZ118"/>
      <c r="BA118">
        <v>126388</v>
      </c>
      <c r="BB118">
        <v>2389970</v>
      </c>
      <c r="BC118">
        <v>6338</v>
      </c>
      <c r="BD118">
        <v>0</v>
      </c>
      <c r="BE118">
        <v>71284</v>
      </c>
      <c r="BF118">
        <v>3775496</v>
      </c>
      <c r="BG118">
        <v>0</v>
      </c>
      <c r="BH118">
        <v>3797934</v>
      </c>
      <c r="BI118">
        <v>290213</v>
      </c>
      <c r="BJ118">
        <v>0</v>
      </c>
      <c r="BK118">
        <v>0</v>
      </c>
      <c r="BL118">
        <v>6370311</v>
      </c>
      <c r="BM118">
        <v>22427694</v>
      </c>
      <c r="BN118">
        <v>853266</v>
      </c>
      <c r="BO118">
        <v>17225269</v>
      </c>
      <c r="BP118">
        <v>12844816</v>
      </c>
      <c r="BQ118">
        <v>15317</v>
      </c>
      <c r="BR118">
        <v>2141837</v>
      </c>
      <c r="BS118" s="180">
        <v>0</v>
      </c>
      <c r="BT118" s="180">
        <v>3129725</v>
      </c>
      <c r="BU118" s="180">
        <v>143491</v>
      </c>
      <c r="BV118" s="180">
        <v>0</v>
      </c>
      <c r="BW118" s="180">
        <v>1165085</v>
      </c>
      <c r="BX118" s="180">
        <v>0</v>
      </c>
      <c r="BY118" s="180">
        <v>12935660</v>
      </c>
      <c r="BZ118" s="180">
        <v>140431</v>
      </c>
      <c r="CA118" s="180">
        <v>0</v>
      </c>
      <c r="CB118" s="180">
        <v>23283</v>
      </c>
      <c r="CC118" s="180">
        <v>0</v>
      </c>
      <c r="CD118" s="180">
        <v>0</v>
      </c>
    </row>
    <row r="119" spans="1:99" x14ac:dyDescent="0.3">
      <c r="A119">
        <v>519</v>
      </c>
      <c r="B119" t="s">
        <v>266</v>
      </c>
      <c r="E119">
        <v>0</v>
      </c>
      <c r="F119">
        <v>0</v>
      </c>
      <c r="G119">
        <v>11227</v>
      </c>
      <c r="H119">
        <v>0</v>
      </c>
      <c r="I119">
        <v>0</v>
      </c>
      <c r="J119">
        <v>0</v>
      </c>
      <c r="K119">
        <v>0</v>
      </c>
      <c r="L119">
        <v>0</v>
      </c>
      <c r="M119">
        <v>0</v>
      </c>
      <c r="N119">
        <v>0</v>
      </c>
      <c r="O119">
        <v>0</v>
      </c>
      <c r="P119">
        <v>0</v>
      </c>
      <c r="Q119">
        <v>0</v>
      </c>
      <c r="R119">
        <v>0</v>
      </c>
      <c r="S119">
        <v>0</v>
      </c>
      <c r="T119">
        <v>4742</v>
      </c>
      <c r="U119">
        <v>0</v>
      </c>
      <c r="V119">
        <v>31726</v>
      </c>
      <c r="W119">
        <v>0</v>
      </c>
      <c r="X119">
        <v>0</v>
      </c>
      <c r="Y119">
        <v>0</v>
      </c>
      <c r="Z119">
        <v>22143</v>
      </c>
      <c r="AA119">
        <v>0</v>
      </c>
      <c r="AB119">
        <v>0</v>
      </c>
      <c r="AC119">
        <v>0</v>
      </c>
      <c r="AD119">
        <v>0</v>
      </c>
      <c r="AF119">
        <v>4647826</v>
      </c>
      <c r="AG119">
        <v>0</v>
      </c>
      <c r="AH119">
        <v>0</v>
      </c>
      <c r="AI119">
        <v>2550</v>
      </c>
      <c r="AJ119">
        <v>0</v>
      </c>
      <c r="AK119">
        <v>0</v>
      </c>
      <c r="AL119">
        <v>0</v>
      </c>
      <c r="AM119">
        <v>0</v>
      </c>
      <c r="AN119">
        <v>235202</v>
      </c>
      <c r="AO119">
        <v>0</v>
      </c>
      <c r="AP119">
        <v>0</v>
      </c>
      <c r="AQ119">
        <v>0</v>
      </c>
      <c r="AR119">
        <v>0</v>
      </c>
      <c r="AS119">
        <v>0</v>
      </c>
      <c r="AT119">
        <v>0</v>
      </c>
      <c r="AU119">
        <v>8604583</v>
      </c>
      <c r="AV119">
        <v>788390</v>
      </c>
      <c r="AW119">
        <v>0</v>
      </c>
      <c r="AX119">
        <v>156435</v>
      </c>
      <c r="AY119">
        <v>20466</v>
      </c>
      <c r="BA119">
        <v>0</v>
      </c>
      <c r="BB119">
        <v>2765</v>
      </c>
      <c r="BC119">
        <v>0</v>
      </c>
      <c r="BD119">
        <v>0</v>
      </c>
      <c r="BE119">
        <v>0</v>
      </c>
      <c r="BF119">
        <v>156245</v>
      </c>
      <c r="BG119">
        <v>0</v>
      </c>
      <c r="BH119">
        <v>0</v>
      </c>
      <c r="BI119">
        <v>0</v>
      </c>
      <c r="BJ119">
        <v>0</v>
      </c>
      <c r="BK119">
        <v>0</v>
      </c>
      <c r="BL119">
        <v>617300</v>
      </c>
      <c r="BM119">
        <v>62909</v>
      </c>
      <c r="BN119">
        <v>0</v>
      </c>
      <c r="BO119">
        <v>1383817</v>
      </c>
      <c r="BP119">
        <v>1395622</v>
      </c>
      <c r="BQ119">
        <v>0</v>
      </c>
      <c r="BR119">
        <v>0</v>
      </c>
      <c r="BS119" s="180">
        <v>0</v>
      </c>
      <c r="BT119" s="180">
        <v>1114234</v>
      </c>
      <c r="BU119" s="180">
        <v>0</v>
      </c>
      <c r="BV119" s="180">
        <v>0</v>
      </c>
      <c r="BW119" s="180">
        <v>0</v>
      </c>
      <c r="BX119" s="180">
        <v>0</v>
      </c>
      <c r="BY119" s="180">
        <v>5112</v>
      </c>
      <c r="BZ119" s="180">
        <v>0</v>
      </c>
      <c r="CA119" s="180">
        <v>0</v>
      </c>
      <c r="CB119" s="180">
        <v>95</v>
      </c>
      <c r="CC119" s="180">
        <v>0</v>
      </c>
      <c r="CD119" s="180">
        <v>0</v>
      </c>
      <c r="CE119" s="180"/>
      <c r="CF119" s="180"/>
      <c r="CG119" s="180"/>
      <c r="CH119" s="180"/>
      <c r="CI119" s="180"/>
      <c r="CJ119" s="180"/>
      <c r="CK119" s="180"/>
      <c r="CL119" s="180"/>
      <c r="CM119" s="180"/>
      <c r="CN119" s="180"/>
      <c r="CO119" s="180"/>
      <c r="CP119" s="180"/>
      <c r="CQ119" s="180"/>
      <c r="CR119" s="180"/>
      <c r="CS119" s="180"/>
      <c r="CT119" s="180"/>
      <c r="CU119" s="180"/>
    </row>
    <row r="120" spans="1:99" x14ac:dyDescent="0.3">
      <c r="A120">
        <v>520</v>
      </c>
      <c r="B120" t="s">
        <v>267</v>
      </c>
      <c r="E120">
        <v>295022</v>
      </c>
      <c r="F120">
        <v>0</v>
      </c>
      <c r="G120">
        <v>425749</v>
      </c>
      <c r="H120">
        <v>199965</v>
      </c>
      <c r="I120">
        <v>24862</v>
      </c>
      <c r="J120">
        <v>0</v>
      </c>
      <c r="K120">
        <v>151581</v>
      </c>
      <c r="L120">
        <v>1037098</v>
      </c>
      <c r="M120">
        <v>0</v>
      </c>
      <c r="N120">
        <v>0</v>
      </c>
      <c r="O120">
        <v>0</v>
      </c>
      <c r="P120">
        <v>133657</v>
      </c>
      <c r="Q120">
        <v>265783</v>
      </c>
      <c r="R120">
        <v>0</v>
      </c>
      <c r="S120">
        <v>142655</v>
      </c>
      <c r="T120">
        <v>75865</v>
      </c>
      <c r="U120">
        <v>46981</v>
      </c>
      <c r="V120">
        <v>623131</v>
      </c>
      <c r="W120">
        <v>0</v>
      </c>
      <c r="X120">
        <v>0</v>
      </c>
      <c r="Y120">
        <v>320415</v>
      </c>
      <c r="Z120">
        <v>1247072</v>
      </c>
      <c r="AA120">
        <v>69505</v>
      </c>
      <c r="AB120">
        <v>80792</v>
      </c>
      <c r="AC120">
        <v>0</v>
      </c>
      <c r="AD120">
        <v>0</v>
      </c>
      <c r="AF120">
        <v>3229910</v>
      </c>
      <c r="AG120">
        <v>0</v>
      </c>
      <c r="AH120">
        <v>43281</v>
      </c>
      <c r="AI120">
        <v>86617</v>
      </c>
      <c r="AJ120">
        <v>71782</v>
      </c>
      <c r="AK120">
        <v>5375</v>
      </c>
      <c r="AL120">
        <v>3818077</v>
      </c>
      <c r="AM120">
        <v>0</v>
      </c>
      <c r="AN120">
        <v>355431</v>
      </c>
      <c r="AO120">
        <v>0</v>
      </c>
      <c r="AP120">
        <v>594651</v>
      </c>
      <c r="AQ120">
        <v>0</v>
      </c>
      <c r="AR120">
        <v>0</v>
      </c>
      <c r="AS120">
        <v>134955</v>
      </c>
      <c r="AT120">
        <v>149259</v>
      </c>
      <c r="AU120">
        <v>4462006</v>
      </c>
      <c r="AV120">
        <v>11930301</v>
      </c>
      <c r="AW120">
        <v>123937</v>
      </c>
      <c r="AX120">
        <v>0</v>
      </c>
      <c r="AY120">
        <v>50449</v>
      </c>
      <c r="BA120">
        <v>79104</v>
      </c>
      <c r="BB120">
        <v>464419</v>
      </c>
      <c r="BC120">
        <v>140536</v>
      </c>
      <c r="BD120">
        <v>0</v>
      </c>
      <c r="BE120">
        <v>39610</v>
      </c>
      <c r="BF120">
        <v>1352294</v>
      </c>
      <c r="BG120">
        <v>0</v>
      </c>
      <c r="BH120">
        <v>987637</v>
      </c>
      <c r="BI120">
        <v>187267</v>
      </c>
      <c r="BJ120">
        <v>0</v>
      </c>
      <c r="BK120">
        <v>0</v>
      </c>
      <c r="BL120">
        <v>1405557</v>
      </c>
      <c r="BM120">
        <v>3266180</v>
      </c>
      <c r="BN120">
        <v>754009</v>
      </c>
      <c r="BO120">
        <v>571134</v>
      </c>
      <c r="BP120">
        <v>0</v>
      </c>
      <c r="BQ120">
        <v>90513</v>
      </c>
      <c r="BR120">
        <v>902148</v>
      </c>
      <c r="BS120" s="180">
        <v>0</v>
      </c>
      <c r="BT120" s="180">
        <v>734038</v>
      </c>
      <c r="BU120" s="180">
        <v>141093</v>
      </c>
      <c r="BV120" s="180">
        <v>0</v>
      </c>
      <c r="BW120" s="180">
        <v>522413</v>
      </c>
      <c r="BX120" s="180">
        <v>0</v>
      </c>
      <c r="BY120" s="180">
        <v>0</v>
      </c>
      <c r="BZ120" s="180">
        <v>44411</v>
      </c>
      <c r="CA120" s="180">
        <v>0</v>
      </c>
      <c r="CB120" s="180">
        <v>29757</v>
      </c>
      <c r="CC120" s="180">
        <v>0</v>
      </c>
      <c r="CD120" s="180">
        <v>0</v>
      </c>
      <c r="CE120" s="180"/>
      <c r="CF120" s="180"/>
      <c r="CG120" s="180"/>
      <c r="CH120" s="180"/>
      <c r="CI120" s="180"/>
      <c r="CJ120" s="180"/>
      <c r="CK120" s="180"/>
      <c r="CL120" s="180"/>
      <c r="CM120" s="180"/>
      <c r="CN120" s="180"/>
      <c r="CO120" s="180"/>
      <c r="CP120" s="180"/>
      <c r="CQ120" s="180"/>
      <c r="CR120" s="180"/>
      <c r="CS120" s="180"/>
      <c r="CT120" s="180"/>
      <c r="CU120" s="180"/>
    </row>
    <row r="121" spans="1:99" x14ac:dyDescent="0.3">
      <c r="A121">
        <v>521</v>
      </c>
      <c r="B121" t="s">
        <v>268</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4060158</v>
      </c>
      <c r="AA121">
        <v>0</v>
      </c>
      <c r="AB121">
        <v>0</v>
      </c>
      <c r="AC121">
        <v>0</v>
      </c>
      <c r="AD121">
        <v>0</v>
      </c>
      <c r="AF121">
        <v>0</v>
      </c>
      <c r="AG121">
        <v>0</v>
      </c>
      <c r="AH121">
        <v>0</v>
      </c>
      <c r="AI121">
        <v>0</v>
      </c>
      <c r="AJ121">
        <v>0</v>
      </c>
      <c r="AK121">
        <v>0</v>
      </c>
      <c r="AL121">
        <v>0</v>
      </c>
      <c r="AM121">
        <v>191261</v>
      </c>
      <c r="AN121">
        <v>321559</v>
      </c>
      <c r="AO121">
        <v>0</v>
      </c>
      <c r="AP121">
        <v>0</v>
      </c>
      <c r="AQ121">
        <v>0</v>
      </c>
      <c r="AR121">
        <v>0</v>
      </c>
      <c r="AS121">
        <v>0</v>
      </c>
      <c r="AT121">
        <v>0</v>
      </c>
      <c r="AU121">
        <v>16687065</v>
      </c>
      <c r="AV121">
        <v>0</v>
      </c>
      <c r="AW121">
        <v>0</v>
      </c>
      <c r="AX121">
        <v>0</v>
      </c>
      <c r="AY121">
        <v>0</v>
      </c>
      <c r="BA121">
        <v>0</v>
      </c>
      <c r="BB121">
        <v>0</v>
      </c>
      <c r="BC121">
        <v>0</v>
      </c>
      <c r="BD121">
        <v>0</v>
      </c>
      <c r="BE121">
        <v>0</v>
      </c>
      <c r="BF121">
        <v>0</v>
      </c>
      <c r="BG121">
        <v>0</v>
      </c>
      <c r="BH121">
        <v>0</v>
      </c>
      <c r="BI121">
        <v>0</v>
      </c>
      <c r="BJ121">
        <v>0</v>
      </c>
      <c r="BK121">
        <v>0</v>
      </c>
      <c r="BL121">
        <v>0</v>
      </c>
      <c r="BM121">
        <v>0</v>
      </c>
      <c r="BN121">
        <v>0</v>
      </c>
      <c r="BO121">
        <v>2330950</v>
      </c>
      <c r="BP121">
        <v>13249580</v>
      </c>
      <c r="BQ121">
        <v>0</v>
      </c>
      <c r="BR121">
        <v>13567</v>
      </c>
      <c r="BS121" s="180">
        <v>0</v>
      </c>
      <c r="BT121" s="180">
        <v>32725</v>
      </c>
      <c r="BU121" s="180">
        <v>0</v>
      </c>
      <c r="BV121" s="180">
        <v>57675</v>
      </c>
      <c r="BW121" s="180">
        <v>3681</v>
      </c>
      <c r="BX121" s="180">
        <v>0</v>
      </c>
      <c r="BY121" s="180">
        <v>4201393</v>
      </c>
      <c r="BZ121" s="180">
        <v>0</v>
      </c>
      <c r="CA121" s="180">
        <v>0</v>
      </c>
      <c r="CB121" s="180">
        <v>0</v>
      </c>
      <c r="CC121" s="180">
        <v>0</v>
      </c>
      <c r="CD121" s="180">
        <v>0</v>
      </c>
      <c r="CE121" s="180"/>
      <c r="CF121" s="180"/>
      <c r="CG121" s="180"/>
      <c r="CH121" s="180"/>
      <c r="CI121" s="180"/>
      <c r="CJ121" s="180"/>
      <c r="CK121" s="180"/>
      <c r="CL121" s="180"/>
      <c r="CM121" s="180"/>
      <c r="CN121" s="180"/>
      <c r="CO121" s="180"/>
      <c r="CP121" s="180"/>
      <c r="CQ121" s="180"/>
      <c r="CR121" s="180"/>
      <c r="CS121" s="180"/>
      <c r="CT121" s="180"/>
      <c r="CU121" s="180"/>
    </row>
    <row r="122" spans="1:99" x14ac:dyDescent="0.3">
      <c r="A122">
        <v>522</v>
      </c>
      <c r="B122" t="s">
        <v>269</v>
      </c>
      <c r="E122">
        <v>18472</v>
      </c>
      <c r="F122">
        <v>0</v>
      </c>
      <c r="G122">
        <v>8082</v>
      </c>
      <c r="H122">
        <v>650</v>
      </c>
      <c r="I122">
        <v>0</v>
      </c>
      <c r="J122">
        <v>0</v>
      </c>
      <c r="K122">
        <v>0</v>
      </c>
      <c r="L122">
        <v>90896</v>
      </c>
      <c r="M122">
        <v>0</v>
      </c>
      <c r="N122">
        <v>0</v>
      </c>
      <c r="O122">
        <v>0</v>
      </c>
      <c r="P122">
        <v>2589</v>
      </c>
      <c r="Q122">
        <v>1241642</v>
      </c>
      <c r="R122">
        <v>0</v>
      </c>
      <c r="S122">
        <v>0</v>
      </c>
      <c r="T122">
        <v>26736</v>
      </c>
      <c r="U122">
        <v>45393</v>
      </c>
      <c r="V122">
        <v>116474</v>
      </c>
      <c r="W122">
        <v>0</v>
      </c>
      <c r="X122">
        <v>13075</v>
      </c>
      <c r="Y122">
        <v>7500</v>
      </c>
      <c r="Z122">
        <v>359955</v>
      </c>
      <c r="AA122">
        <v>0</v>
      </c>
      <c r="AB122">
        <v>17575</v>
      </c>
      <c r="AC122">
        <v>0</v>
      </c>
      <c r="AD122">
        <v>0</v>
      </c>
      <c r="AF122">
        <v>671934</v>
      </c>
      <c r="AG122">
        <v>0</v>
      </c>
      <c r="AH122">
        <v>2842</v>
      </c>
      <c r="AI122">
        <v>45512</v>
      </c>
      <c r="AJ122">
        <v>0</v>
      </c>
      <c r="AK122">
        <v>0</v>
      </c>
      <c r="AL122">
        <v>1156323</v>
      </c>
      <c r="AM122">
        <v>0</v>
      </c>
      <c r="AN122">
        <v>242084</v>
      </c>
      <c r="AO122">
        <v>0</v>
      </c>
      <c r="AP122">
        <v>153963</v>
      </c>
      <c r="AQ122">
        <v>0</v>
      </c>
      <c r="AR122">
        <v>0</v>
      </c>
      <c r="AS122">
        <v>9159</v>
      </c>
      <c r="AT122">
        <v>0</v>
      </c>
      <c r="AU122">
        <v>4447679</v>
      </c>
      <c r="AV122">
        <v>1692041</v>
      </c>
      <c r="AW122">
        <v>32279</v>
      </c>
      <c r="AX122">
        <v>6747</v>
      </c>
      <c r="AY122">
        <v>24417</v>
      </c>
      <c r="BA122">
        <v>5576</v>
      </c>
      <c r="BB122">
        <v>140327</v>
      </c>
      <c r="BC122">
        <v>0</v>
      </c>
      <c r="BD122">
        <v>0</v>
      </c>
      <c r="BE122">
        <v>6625</v>
      </c>
      <c r="BF122">
        <v>374236</v>
      </c>
      <c r="BG122">
        <v>0</v>
      </c>
      <c r="BH122">
        <v>308395</v>
      </c>
      <c r="BI122">
        <v>5547</v>
      </c>
      <c r="BJ122">
        <v>0</v>
      </c>
      <c r="BK122">
        <v>0</v>
      </c>
      <c r="BL122">
        <v>381543</v>
      </c>
      <c r="BM122">
        <v>888713</v>
      </c>
      <c r="BN122">
        <v>42015</v>
      </c>
      <c r="BO122">
        <v>1480355</v>
      </c>
      <c r="BP122">
        <v>512277</v>
      </c>
      <c r="BQ122">
        <v>0</v>
      </c>
      <c r="BR122">
        <v>77600</v>
      </c>
      <c r="BS122" s="180">
        <v>0</v>
      </c>
      <c r="BT122" s="180">
        <v>206718</v>
      </c>
      <c r="BU122" s="180">
        <v>0</v>
      </c>
      <c r="BV122" s="180">
        <v>0</v>
      </c>
      <c r="BW122" s="180">
        <v>107231</v>
      </c>
      <c r="BX122" s="180">
        <v>0</v>
      </c>
      <c r="BY122" s="180">
        <v>589716</v>
      </c>
      <c r="BZ122" s="180">
        <v>9053</v>
      </c>
      <c r="CA122" s="180">
        <v>0</v>
      </c>
      <c r="CB122" s="180">
        <v>0</v>
      </c>
      <c r="CC122" s="180">
        <v>0</v>
      </c>
      <c r="CD122" s="180">
        <v>0</v>
      </c>
      <c r="CE122" s="180"/>
      <c r="CF122" s="180"/>
      <c r="CG122" s="180"/>
      <c r="CH122" s="180"/>
      <c r="CI122" s="180"/>
      <c r="CJ122" s="180"/>
      <c r="CK122" s="180"/>
      <c r="CL122" s="180"/>
      <c r="CM122" s="180"/>
      <c r="CN122" s="180"/>
      <c r="CO122" s="180"/>
      <c r="CP122" s="180"/>
      <c r="CQ122" s="180"/>
      <c r="CR122" s="180"/>
      <c r="CS122" s="180"/>
      <c r="CT122" s="180"/>
      <c r="CU122" s="180"/>
    </row>
    <row r="123" spans="1:99" x14ac:dyDescent="0.3">
      <c r="A123">
        <v>523</v>
      </c>
      <c r="B123" t="s">
        <v>270</v>
      </c>
      <c r="E123">
        <v>12758</v>
      </c>
      <c r="F123">
        <v>0</v>
      </c>
      <c r="G123">
        <v>434896</v>
      </c>
      <c r="H123">
        <v>0</v>
      </c>
      <c r="I123">
        <v>0</v>
      </c>
      <c r="J123">
        <v>0</v>
      </c>
      <c r="K123">
        <v>0</v>
      </c>
      <c r="L123">
        <v>0</v>
      </c>
      <c r="M123">
        <v>0</v>
      </c>
      <c r="N123">
        <v>0</v>
      </c>
      <c r="O123">
        <v>0</v>
      </c>
      <c r="P123">
        <v>0</v>
      </c>
      <c r="Q123">
        <v>0</v>
      </c>
      <c r="R123">
        <v>0</v>
      </c>
      <c r="S123">
        <v>0</v>
      </c>
      <c r="T123">
        <v>106906</v>
      </c>
      <c r="U123">
        <v>0</v>
      </c>
      <c r="V123">
        <v>243330</v>
      </c>
      <c r="W123">
        <v>0</v>
      </c>
      <c r="X123">
        <v>3820634</v>
      </c>
      <c r="Y123">
        <v>0</v>
      </c>
      <c r="Z123">
        <v>44286</v>
      </c>
      <c r="AA123">
        <v>0</v>
      </c>
      <c r="AB123">
        <v>0</v>
      </c>
      <c r="AC123">
        <v>0</v>
      </c>
      <c r="AD123">
        <v>0</v>
      </c>
      <c r="AF123">
        <v>54064527</v>
      </c>
      <c r="AG123">
        <v>0</v>
      </c>
      <c r="AH123">
        <v>0</v>
      </c>
      <c r="AI123">
        <v>42155</v>
      </c>
      <c r="AJ123">
        <v>0</v>
      </c>
      <c r="AK123">
        <v>0</v>
      </c>
      <c r="AL123">
        <v>0</v>
      </c>
      <c r="AM123">
        <v>0</v>
      </c>
      <c r="AN123">
        <v>8423717</v>
      </c>
      <c r="AO123">
        <v>0</v>
      </c>
      <c r="AP123">
        <v>0</v>
      </c>
      <c r="AQ123">
        <v>0</v>
      </c>
      <c r="AR123">
        <v>0</v>
      </c>
      <c r="AS123">
        <v>0</v>
      </c>
      <c r="AT123">
        <v>371872</v>
      </c>
      <c r="AU123">
        <v>130125778</v>
      </c>
      <c r="AV123">
        <v>4698488</v>
      </c>
      <c r="AW123">
        <v>0</v>
      </c>
      <c r="AX123">
        <v>2570485</v>
      </c>
      <c r="AY123">
        <v>213164</v>
      </c>
      <c r="BA123">
        <v>0</v>
      </c>
      <c r="BB123">
        <v>86827</v>
      </c>
      <c r="BC123">
        <v>0</v>
      </c>
      <c r="BD123">
        <v>0</v>
      </c>
      <c r="BE123">
        <v>0</v>
      </c>
      <c r="BF123">
        <v>1014534</v>
      </c>
      <c r="BG123">
        <v>0</v>
      </c>
      <c r="BH123">
        <v>0</v>
      </c>
      <c r="BI123">
        <v>0</v>
      </c>
      <c r="BJ123">
        <v>0</v>
      </c>
      <c r="BK123">
        <v>0</v>
      </c>
      <c r="BL123">
        <v>29566059</v>
      </c>
      <c r="BM123">
        <v>999243</v>
      </c>
      <c r="BN123">
        <v>1700</v>
      </c>
      <c r="BO123">
        <v>27879953</v>
      </c>
      <c r="BP123">
        <v>52714598</v>
      </c>
      <c r="BQ123">
        <v>1248</v>
      </c>
      <c r="BR123">
        <v>0</v>
      </c>
      <c r="BS123" s="180">
        <v>0</v>
      </c>
      <c r="BT123" s="180">
        <v>13606438</v>
      </c>
      <c r="BU123" s="180">
        <v>0</v>
      </c>
      <c r="BV123" s="180">
        <v>0</v>
      </c>
      <c r="BW123" s="180">
        <v>0</v>
      </c>
      <c r="BX123" s="180">
        <v>0</v>
      </c>
      <c r="BY123" s="180">
        <v>97971</v>
      </c>
      <c r="BZ123" s="180">
        <v>0</v>
      </c>
      <c r="CA123" s="180">
        <v>0</v>
      </c>
      <c r="CB123" s="180">
        <v>118161</v>
      </c>
      <c r="CC123" s="180">
        <v>0</v>
      </c>
      <c r="CD123" s="180">
        <v>0</v>
      </c>
      <c r="CE123" s="180"/>
      <c r="CF123" s="180"/>
      <c r="CG123" s="180"/>
      <c r="CH123" s="180"/>
      <c r="CI123" s="180"/>
      <c r="CJ123" s="180"/>
      <c r="CK123" s="180"/>
      <c r="CL123" s="180"/>
      <c r="CM123" s="180"/>
      <c r="CN123" s="180"/>
      <c r="CO123" s="180"/>
      <c r="CP123" s="180"/>
      <c r="CQ123" s="180"/>
      <c r="CR123" s="180"/>
      <c r="CS123" s="180"/>
      <c r="CT123" s="180"/>
      <c r="CU123" s="180"/>
    </row>
    <row r="124" spans="1:99" x14ac:dyDescent="0.3">
      <c r="A124">
        <v>524</v>
      </c>
      <c r="B124" t="s">
        <v>271</v>
      </c>
      <c r="E124">
        <v>7333032</v>
      </c>
      <c r="F124">
        <v>0</v>
      </c>
      <c r="G124">
        <v>7003698</v>
      </c>
      <c r="H124">
        <v>3906842</v>
      </c>
      <c r="I124">
        <v>806159</v>
      </c>
      <c r="J124">
        <v>0</v>
      </c>
      <c r="K124">
        <v>2058443</v>
      </c>
      <c r="L124">
        <v>19698814</v>
      </c>
      <c r="M124">
        <v>0</v>
      </c>
      <c r="N124">
        <v>0</v>
      </c>
      <c r="O124">
        <v>0</v>
      </c>
      <c r="P124">
        <v>565864</v>
      </c>
      <c r="Q124">
        <v>26226533</v>
      </c>
      <c r="R124">
        <v>0</v>
      </c>
      <c r="S124">
        <v>3380598</v>
      </c>
      <c r="T124">
        <v>2619624</v>
      </c>
      <c r="U124">
        <v>1249356</v>
      </c>
      <c r="V124">
        <v>13049720</v>
      </c>
      <c r="W124">
        <v>0</v>
      </c>
      <c r="X124">
        <v>0</v>
      </c>
      <c r="Y124">
        <v>6311283</v>
      </c>
      <c r="Z124">
        <v>10810992</v>
      </c>
      <c r="AA124">
        <v>1372931</v>
      </c>
      <c r="AB124">
        <v>1379634</v>
      </c>
      <c r="AC124">
        <v>0</v>
      </c>
      <c r="AD124">
        <v>0</v>
      </c>
      <c r="AF124">
        <v>89319430</v>
      </c>
      <c r="AG124">
        <v>0</v>
      </c>
      <c r="AH124">
        <v>1644315</v>
      </c>
      <c r="AI124">
        <v>2231338</v>
      </c>
      <c r="AJ124">
        <v>1633633</v>
      </c>
      <c r="AK124">
        <v>161252</v>
      </c>
      <c r="AL124">
        <v>113115244</v>
      </c>
      <c r="AM124">
        <v>0</v>
      </c>
      <c r="AN124">
        <v>9482261</v>
      </c>
      <c r="AO124">
        <v>0</v>
      </c>
      <c r="AP124">
        <v>15706502</v>
      </c>
      <c r="AQ124">
        <v>0</v>
      </c>
      <c r="AR124">
        <v>0</v>
      </c>
      <c r="AS124">
        <v>2266868</v>
      </c>
      <c r="AT124">
        <v>1674207</v>
      </c>
      <c r="AU124">
        <v>46683431</v>
      </c>
      <c r="AV124">
        <v>204087208</v>
      </c>
      <c r="AW124">
        <v>3878386</v>
      </c>
      <c r="AX124">
        <v>0</v>
      </c>
      <c r="AY124">
        <v>1926571</v>
      </c>
      <c r="BA124">
        <v>2132106</v>
      </c>
      <c r="BB124">
        <v>15860056</v>
      </c>
      <c r="BC124">
        <v>1686435</v>
      </c>
      <c r="BD124">
        <v>0</v>
      </c>
      <c r="BE124">
        <v>1072603</v>
      </c>
      <c r="BF124">
        <v>16444119</v>
      </c>
      <c r="BG124">
        <v>0</v>
      </c>
      <c r="BH124">
        <v>25758412</v>
      </c>
      <c r="BI124">
        <v>5604756</v>
      </c>
      <c r="BJ124">
        <v>0</v>
      </c>
      <c r="BK124">
        <v>0</v>
      </c>
      <c r="BL124">
        <v>23342458</v>
      </c>
      <c r="BM124">
        <v>51657288</v>
      </c>
      <c r="BN124">
        <v>13538626</v>
      </c>
      <c r="BO124">
        <v>20392282</v>
      </c>
      <c r="BP124">
        <v>0</v>
      </c>
      <c r="BQ124">
        <v>1284770</v>
      </c>
      <c r="BR124">
        <v>14442231</v>
      </c>
      <c r="BS124" s="180">
        <v>0</v>
      </c>
      <c r="BT124" s="180">
        <v>13107039</v>
      </c>
      <c r="BU124" s="180">
        <v>2820532</v>
      </c>
      <c r="BV124" s="180">
        <v>0</v>
      </c>
      <c r="BW124" s="180">
        <v>8802118</v>
      </c>
      <c r="BX124" s="180">
        <v>0</v>
      </c>
      <c r="BY124" s="180">
        <v>0</v>
      </c>
      <c r="BZ124" s="180">
        <v>976049</v>
      </c>
      <c r="CA124" s="180">
        <v>0</v>
      </c>
      <c r="CB124" s="180">
        <v>1336594</v>
      </c>
      <c r="CC124" s="180">
        <v>0</v>
      </c>
      <c r="CD124" s="180">
        <v>0</v>
      </c>
      <c r="CE124" s="180"/>
      <c r="CF124" s="180"/>
      <c r="CG124" s="180"/>
      <c r="CH124" s="180"/>
      <c r="CI124" s="180"/>
      <c r="CJ124" s="180"/>
      <c r="CK124" s="180"/>
      <c r="CL124" s="180"/>
      <c r="CM124" s="180"/>
      <c r="CN124" s="180"/>
      <c r="CO124" s="180"/>
      <c r="CP124" s="180"/>
      <c r="CQ124" s="180"/>
      <c r="CR124" s="180"/>
      <c r="CS124" s="180"/>
      <c r="CT124" s="180"/>
      <c r="CU124" s="180"/>
    </row>
    <row r="125" spans="1:99" x14ac:dyDescent="0.3">
      <c r="A125">
        <v>525</v>
      </c>
      <c r="B125" t="s">
        <v>272</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45976365</v>
      </c>
      <c r="AA125">
        <v>0</v>
      </c>
      <c r="AB125">
        <v>0</v>
      </c>
      <c r="AC125">
        <v>0</v>
      </c>
      <c r="AD125">
        <v>0</v>
      </c>
      <c r="AF125">
        <v>0</v>
      </c>
      <c r="AG125">
        <v>0</v>
      </c>
      <c r="AH125">
        <v>0</v>
      </c>
      <c r="AI125">
        <v>0</v>
      </c>
      <c r="AJ125">
        <v>0</v>
      </c>
      <c r="AK125">
        <v>0</v>
      </c>
      <c r="AL125">
        <v>0</v>
      </c>
      <c r="AM125">
        <v>1315349</v>
      </c>
      <c r="AN125">
        <v>5663662</v>
      </c>
      <c r="AO125">
        <v>0</v>
      </c>
      <c r="AP125">
        <v>0</v>
      </c>
      <c r="AQ125">
        <v>0</v>
      </c>
      <c r="AR125">
        <v>0</v>
      </c>
      <c r="AS125">
        <v>0</v>
      </c>
      <c r="AT125">
        <v>0</v>
      </c>
      <c r="AU125">
        <v>344731168</v>
      </c>
      <c r="AV125">
        <v>0</v>
      </c>
      <c r="AW125">
        <v>0</v>
      </c>
      <c r="AX125">
        <v>0</v>
      </c>
      <c r="AY125">
        <v>0</v>
      </c>
      <c r="BA125">
        <v>0</v>
      </c>
      <c r="BB125">
        <v>0</v>
      </c>
      <c r="BC125">
        <v>0</v>
      </c>
      <c r="BD125">
        <v>0</v>
      </c>
      <c r="BE125">
        <v>0</v>
      </c>
      <c r="BF125">
        <v>0</v>
      </c>
      <c r="BG125">
        <v>0</v>
      </c>
      <c r="BH125">
        <v>0</v>
      </c>
      <c r="BI125">
        <v>0</v>
      </c>
      <c r="BJ125">
        <v>0</v>
      </c>
      <c r="BK125">
        <v>0</v>
      </c>
      <c r="BL125">
        <v>0</v>
      </c>
      <c r="BM125">
        <v>0</v>
      </c>
      <c r="BN125">
        <v>0</v>
      </c>
      <c r="BO125">
        <v>48016811</v>
      </c>
      <c r="BP125">
        <v>229729259</v>
      </c>
      <c r="BQ125">
        <v>0</v>
      </c>
      <c r="BR125">
        <v>13567</v>
      </c>
      <c r="BS125" s="180">
        <v>0</v>
      </c>
      <c r="BT125" s="180">
        <v>209018</v>
      </c>
      <c r="BU125" s="180">
        <v>0</v>
      </c>
      <c r="BV125" s="180">
        <v>144188</v>
      </c>
      <c r="BW125" s="180">
        <v>65964</v>
      </c>
      <c r="BX125" s="180">
        <v>0</v>
      </c>
      <c r="BY125" s="180">
        <v>51524380</v>
      </c>
      <c r="BZ125" s="180">
        <v>0</v>
      </c>
      <c r="CA125" s="180">
        <v>0</v>
      </c>
      <c r="CB125" s="180">
        <v>0</v>
      </c>
      <c r="CC125" s="180">
        <v>0</v>
      </c>
      <c r="CD125" s="180">
        <v>0</v>
      </c>
      <c r="CE125" s="180"/>
      <c r="CF125" s="180"/>
      <c r="CG125" s="180"/>
      <c r="CH125" s="180"/>
      <c r="CI125" s="180"/>
      <c r="CJ125" s="180"/>
      <c r="CK125" s="180"/>
      <c r="CL125" s="180"/>
      <c r="CM125" s="180"/>
      <c r="CN125" s="180"/>
      <c r="CO125" s="180"/>
      <c r="CP125" s="180"/>
      <c r="CQ125" s="180"/>
      <c r="CR125" s="180"/>
      <c r="CS125" s="180"/>
      <c r="CT125" s="180"/>
      <c r="CU125" s="180"/>
    </row>
    <row r="126" spans="1:99" x14ac:dyDescent="0.3">
      <c r="A126">
        <v>526</v>
      </c>
      <c r="B126" t="s">
        <v>273</v>
      </c>
      <c r="E126">
        <v>718327</v>
      </c>
      <c r="F126">
        <v>0</v>
      </c>
      <c r="G126">
        <v>578293</v>
      </c>
      <c r="H126">
        <v>39407</v>
      </c>
      <c r="I126">
        <v>0</v>
      </c>
      <c r="J126">
        <v>0</v>
      </c>
      <c r="K126">
        <v>0</v>
      </c>
      <c r="L126">
        <v>1816614</v>
      </c>
      <c r="M126">
        <v>0</v>
      </c>
      <c r="N126">
        <v>0</v>
      </c>
      <c r="O126">
        <v>0</v>
      </c>
      <c r="P126">
        <v>12006</v>
      </c>
      <c r="Q126">
        <v>8482638</v>
      </c>
      <c r="R126">
        <v>0</v>
      </c>
      <c r="S126">
        <v>110299</v>
      </c>
      <c r="T126">
        <v>496517</v>
      </c>
      <c r="U126">
        <v>187999</v>
      </c>
      <c r="V126">
        <v>1604107</v>
      </c>
      <c r="W126">
        <v>0</v>
      </c>
      <c r="X126">
        <v>395809</v>
      </c>
      <c r="Y126">
        <v>323240</v>
      </c>
      <c r="Z126">
        <v>2506366</v>
      </c>
      <c r="AA126">
        <v>0</v>
      </c>
      <c r="AB126">
        <v>343301</v>
      </c>
      <c r="AC126">
        <v>0</v>
      </c>
      <c r="AD126">
        <v>0</v>
      </c>
      <c r="AF126">
        <v>15535930</v>
      </c>
      <c r="AG126">
        <v>0</v>
      </c>
      <c r="AH126">
        <v>81919</v>
      </c>
      <c r="AI126">
        <v>375713</v>
      </c>
      <c r="AJ126">
        <v>0</v>
      </c>
      <c r="AK126">
        <v>3358</v>
      </c>
      <c r="AL126">
        <v>8037277</v>
      </c>
      <c r="AM126">
        <v>0</v>
      </c>
      <c r="AN126">
        <v>2162936</v>
      </c>
      <c r="AO126">
        <v>0</v>
      </c>
      <c r="AP126">
        <v>1430629</v>
      </c>
      <c r="AQ126">
        <v>0</v>
      </c>
      <c r="AR126">
        <v>0</v>
      </c>
      <c r="AS126">
        <v>221026</v>
      </c>
      <c r="AT126">
        <v>15297</v>
      </c>
      <c r="AU126">
        <v>52712594</v>
      </c>
      <c r="AV126">
        <v>20824053</v>
      </c>
      <c r="AW126">
        <v>278592</v>
      </c>
      <c r="AX126">
        <v>185900</v>
      </c>
      <c r="AY126">
        <v>222312</v>
      </c>
      <c r="BA126">
        <v>96244</v>
      </c>
      <c r="BB126">
        <v>1857818</v>
      </c>
      <c r="BC126">
        <v>6338</v>
      </c>
      <c r="BD126">
        <v>0</v>
      </c>
      <c r="BE126">
        <v>53618</v>
      </c>
      <c r="BF126">
        <v>2293438</v>
      </c>
      <c r="BG126">
        <v>0</v>
      </c>
      <c r="BH126">
        <v>2481601</v>
      </c>
      <c r="BI126">
        <v>288890</v>
      </c>
      <c r="BJ126">
        <v>0</v>
      </c>
      <c r="BK126">
        <v>0</v>
      </c>
      <c r="BL126">
        <v>5341832</v>
      </c>
      <c r="BM126">
        <v>18504524</v>
      </c>
      <c r="BN126">
        <v>594407</v>
      </c>
      <c r="BO126">
        <v>10574324</v>
      </c>
      <c r="BP126">
        <v>8785213</v>
      </c>
      <c r="BQ126">
        <v>15317</v>
      </c>
      <c r="BR126">
        <v>1223457</v>
      </c>
      <c r="BS126" s="180">
        <v>0</v>
      </c>
      <c r="BT126" s="180">
        <v>2425114</v>
      </c>
      <c r="BU126" s="180">
        <v>143491</v>
      </c>
      <c r="BV126" s="180">
        <v>0</v>
      </c>
      <c r="BW126" s="180">
        <v>599533</v>
      </c>
      <c r="BX126" s="180">
        <v>0</v>
      </c>
      <c r="BY126" s="180">
        <v>8040811</v>
      </c>
      <c r="BZ126" s="180">
        <v>63590</v>
      </c>
      <c r="CA126" s="180">
        <v>0</v>
      </c>
      <c r="CB126" s="180">
        <v>23284</v>
      </c>
      <c r="CC126" s="180">
        <v>0</v>
      </c>
      <c r="CD126" s="180">
        <v>0</v>
      </c>
      <c r="CE126" s="180"/>
      <c r="CF126" s="180"/>
      <c r="CG126" s="180"/>
      <c r="CH126" s="180"/>
      <c r="CI126" s="180"/>
      <c r="CJ126" s="180"/>
      <c r="CK126" s="180"/>
      <c r="CL126" s="180"/>
      <c r="CM126" s="180"/>
      <c r="CN126" s="180"/>
      <c r="CO126" s="180"/>
      <c r="CP126" s="180"/>
      <c r="CQ126" s="180"/>
      <c r="CR126" s="180"/>
      <c r="CS126" s="180"/>
      <c r="CT126" s="180"/>
      <c r="CU126" s="180"/>
    </row>
    <row r="127" spans="1:99" x14ac:dyDescent="0.3">
      <c r="A127">
        <v>527</v>
      </c>
      <c r="B127" s="551" t="s">
        <v>274</v>
      </c>
      <c r="E127">
        <v>0</v>
      </c>
      <c r="F127">
        <v>0</v>
      </c>
      <c r="G127">
        <v>0</v>
      </c>
      <c r="H127">
        <v>0</v>
      </c>
      <c r="I127">
        <v>0</v>
      </c>
      <c r="J127">
        <v>0</v>
      </c>
      <c r="K127">
        <v>0</v>
      </c>
      <c r="L127">
        <v>76348</v>
      </c>
      <c r="M127" s="551">
        <v>0</v>
      </c>
      <c r="N127">
        <v>0</v>
      </c>
      <c r="O127">
        <v>0</v>
      </c>
      <c r="P127">
        <v>0</v>
      </c>
      <c r="Q127">
        <v>115715</v>
      </c>
      <c r="R127">
        <v>0</v>
      </c>
      <c r="S127">
        <v>0</v>
      </c>
      <c r="T127">
        <v>0</v>
      </c>
      <c r="U127">
        <v>0</v>
      </c>
      <c r="V127">
        <v>0</v>
      </c>
      <c r="W127">
        <v>0</v>
      </c>
      <c r="X127">
        <v>0</v>
      </c>
      <c r="Y127">
        <v>137268</v>
      </c>
      <c r="Z127">
        <v>0</v>
      </c>
      <c r="AA127">
        <v>0</v>
      </c>
      <c r="AB127">
        <v>0</v>
      </c>
      <c r="AC127">
        <v>0</v>
      </c>
      <c r="AD127">
        <v>0</v>
      </c>
      <c r="AF127">
        <v>17252339</v>
      </c>
      <c r="AG127">
        <v>0</v>
      </c>
      <c r="AH127">
        <v>0</v>
      </c>
      <c r="AI127">
        <v>0</v>
      </c>
      <c r="AJ127">
        <v>0</v>
      </c>
      <c r="AK127">
        <v>0</v>
      </c>
      <c r="AL127">
        <v>0</v>
      </c>
      <c r="AM127">
        <v>0</v>
      </c>
      <c r="AN127">
        <v>0</v>
      </c>
      <c r="AO127">
        <v>0</v>
      </c>
      <c r="AP127">
        <v>47400</v>
      </c>
      <c r="AQ127">
        <v>0</v>
      </c>
      <c r="AR127">
        <v>0</v>
      </c>
      <c r="AS127">
        <v>0</v>
      </c>
      <c r="AT127">
        <v>0</v>
      </c>
      <c r="AU127">
        <v>0</v>
      </c>
      <c r="AV127">
        <v>14496231</v>
      </c>
      <c r="AW127">
        <v>0</v>
      </c>
      <c r="AX127">
        <v>0</v>
      </c>
      <c r="AY127">
        <v>0</v>
      </c>
      <c r="BA127">
        <v>0</v>
      </c>
      <c r="BB127">
        <v>0</v>
      </c>
      <c r="BC127">
        <v>0</v>
      </c>
      <c r="BD127">
        <v>0</v>
      </c>
      <c r="BE127">
        <v>0</v>
      </c>
      <c r="BF127">
        <v>0</v>
      </c>
      <c r="BG127">
        <v>0</v>
      </c>
      <c r="BH127">
        <v>0</v>
      </c>
      <c r="BI127">
        <v>0</v>
      </c>
      <c r="BJ127">
        <v>0</v>
      </c>
      <c r="BK127">
        <v>0</v>
      </c>
      <c r="BL127">
        <v>0</v>
      </c>
      <c r="BM127">
        <v>0</v>
      </c>
      <c r="BN127">
        <v>0</v>
      </c>
      <c r="BO127">
        <v>0</v>
      </c>
      <c r="BP127">
        <v>12122395</v>
      </c>
      <c r="BQ127">
        <v>0</v>
      </c>
      <c r="BR127">
        <v>0</v>
      </c>
      <c r="BS127" s="180">
        <v>0</v>
      </c>
      <c r="BT127" s="180">
        <v>0</v>
      </c>
      <c r="BU127" s="180">
        <v>0</v>
      </c>
      <c r="BV127" s="180">
        <v>0</v>
      </c>
      <c r="BW127" s="180">
        <v>0</v>
      </c>
      <c r="BX127" s="180">
        <v>0</v>
      </c>
      <c r="BY127" s="180">
        <v>0</v>
      </c>
      <c r="BZ127" s="180">
        <v>0</v>
      </c>
      <c r="CA127" s="180">
        <v>0</v>
      </c>
      <c r="CB127" s="180">
        <v>0</v>
      </c>
      <c r="CC127" s="180">
        <v>0</v>
      </c>
      <c r="CD127" s="180">
        <v>413771</v>
      </c>
      <c r="CE127" s="180"/>
      <c r="CF127" s="180"/>
      <c r="CG127" s="180"/>
      <c r="CH127" s="180"/>
      <c r="CI127" s="180"/>
      <c r="CJ127" s="180"/>
      <c r="CK127" s="180"/>
      <c r="CL127" s="180"/>
      <c r="CM127" s="180"/>
      <c r="CN127" s="180"/>
      <c r="CO127" s="180"/>
      <c r="CP127" s="180"/>
      <c r="CQ127" s="180"/>
      <c r="CR127" s="180"/>
      <c r="CS127" s="180"/>
      <c r="CT127" s="180"/>
      <c r="CU127" s="180"/>
    </row>
    <row r="128" spans="1:99" x14ac:dyDescent="0.3">
      <c r="A128">
        <v>528</v>
      </c>
      <c r="B128" t="s">
        <v>257</v>
      </c>
      <c r="E128">
        <v>779395</v>
      </c>
      <c r="F128">
        <v>116125</v>
      </c>
      <c r="G128">
        <v>326956</v>
      </c>
      <c r="H128">
        <v>283400</v>
      </c>
      <c r="I128">
        <v>35052</v>
      </c>
      <c r="J128">
        <v>23777</v>
      </c>
      <c r="K128">
        <v>24029</v>
      </c>
      <c r="L128">
        <v>1612763</v>
      </c>
      <c r="M128">
        <v>64678681</v>
      </c>
      <c r="N128">
        <v>1293419</v>
      </c>
      <c r="O128">
        <v>4508553</v>
      </c>
      <c r="P128">
        <v>1222</v>
      </c>
      <c r="Q128">
        <v>8732312</v>
      </c>
      <c r="R128">
        <v>51092</v>
      </c>
      <c r="S128">
        <v>151828</v>
      </c>
      <c r="T128">
        <v>1115441</v>
      </c>
      <c r="U128">
        <v>729859</v>
      </c>
      <c r="V128">
        <v>2539216</v>
      </c>
      <c r="W128">
        <v>1306370</v>
      </c>
      <c r="X128">
        <v>201484</v>
      </c>
      <c r="Y128">
        <v>349491</v>
      </c>
      <c r="Z128">
        <v>22311005</v>
      </c>
      <c r="AA128">
        <v>0</v>
      </c>
      <c r="AB128">
        <v>156197</v>
      </c>
      <c r="AC128">
        <v>27839046</v>
      </c>
      <c r="AD128">
        <v>506682</v>
      </c>
      <c r="AF128">
        <v>34538119</v>
      </c>
      <c r="AG128">
        <v>0</v>
      </c>
      <c r="AH128">
        <v>103550</v>
      </c>
      <c r="AI128">
        <v>4023429</v>
      </c>
      <c r="AJ128">
        <v>289187</v>
      </c>
      <c r="AK128">
        <v>33005</v>
      </c>
      <c r="AL128">
        <v>15988624</v>
      </c>
      <c r="AM128">
        <v>73990</v>
      </c>
      <c r="AN128">
        <v>5625875</v>
      </c>
      <c r="AO128">
        <v>0</v>
      </c>
      <c r="AP128">
        <v>2135546</v>
      </c>
      <c r="AQ128">
        <v>1144225</v>
      </c>
      <c r="AR128">
        <v>31141</v>
      </c>
      <c r="AS128">
        <v>396874</v>
      </c>
      <c r="AT128">
        <v>54483</v>
      </c>
      <c r="AU128">
        <v>216915898</v>
      </c>
      <c r="AV128">
        <v>34448989</v>
      </c>
      <c r="AW128">
        <v>667219</v>
      </c>
      <c r="AX128">
        <v>143746</v>
      </c>
      <c r="AY128">
        <v>182577</v>
      </c>
      <c r="BA128">
        <v>73788</v>
      </c>
      <c r="BB128">
        <v>2093461</v>
      </c>
      <c r="BC128">
        <v>43293</v>
      </c>
      <c r="BD128">
        <v>25798</v>
      </c>
      <c r="BE128">
        <v>21853</v>
      </c>
      <c r="BF128">
        <v>12186046</v>
      </c>
      <c r="BG128">
        <v>6310</v>
      </c>
      <c r="BH128">
        <v>4709512</v>
      </c>
      <c r="BI128">
        <v>852361</v>
      </c>
      <c r="BJ128">
        <v>110910</v>
      </c>
      <c r="BK128">
        <v>0</v>
      </c>
      <c r="BL128">
        <v>6044204</v>
      </c>
      <c r="BM128">
        <v>11038212</v>
      </c>
      <c r="BN128">
        <v>844295</v>
      </c>
      <c r="BO128">
        <v>32333829</v>
      </c>
      <c r="BP128">
        <v>74512410</v>
      </c>
      <c r="BQ128">
        <v>139219</v>
      </c>
      <c r="BR128">
        <v>2968052</v>
      </c>
      <c r="BS128" s="180">
        <v>256339</v>
      </c>
      <c r="BT128" s="180">
        <v>8703387</v>
      </c>
      <c r="BU128" s="180">
        <v>56086</v>
      </c>
      <c r="BV128" s="180">
        <v>67883</v>
      </c>
      <c r="BW128" s="180">
        <v>2794934</v>
      </c>
      <c r="BX128" s="180">
        <v>2377136</v>
      </c>
      <c r="BY128" s="180">
        <v>28973575</v>
      </c>
      <c r="BZ128" s="180">
        <v>67402</v>
      </c>
      <c r="CA128" s="180">
        <v>5227321</v>
      </c>
      <c r="CB128" s="180">
        <v>315489</v>
      </c>
      <c r="CC128" s="180">
        <v>1323329</v>
      </c>
      <c r="CD128" s="180">
        <v>24067316</v>
      </c>
      <c r="CE128" s="180"/>
      <c r="CF128" s="180"/>
      <c r="CG128" s="180"/>
      <c r="CH128" s="180"/>
      <c r="CI128" s="180"/>
      <c r="CJ128" s="180"/>
      <c r="CK128" s="180"/>
      <c r="CL128" s="180"/>
      <c r="CM128" s="180"/>
      <c r="CN128" s="180"/>
      <c r="CO128" s="180"/>
      <c r="CP128" s="180"/>
      <c r="CQ128" s="180"/>
      <c r="CR128" s="180"/>
      <c r="CS128" s="180"/>
      <c r="CT128" s="180"/>
      <c r="CU128" s="180"/>
    </row>
    <row r="129" spans="1:99" x14ac:dyDescent="0.3">
      <c r="A129">
        <v>529</v>
      </c>
      <c r="B129" t="s">
        <v>258</v>
      </c>
      <c r="E129">
        <v>121033</v>
      </c>
      <c r="F129">
        <v>13102</v>
      </c>
      <c r="G129">
        <v>36464</v>
      </c>
      <c r="H129">
        <v>35040</v>
      </c>
      <c r="I129">
        <v>5324</v>
      </c>
      <c r="J129">
        <v>2529</v>
      </c>
      <c r="K129">
        <v>3380</v>
      </c>
      <c r="L129">
        <v>245370</v>
      </c>
      <c r="M129">
        <v>8639662</v>
      </c>
      <c r="N129">
        <v>82598</v>
      </c>
      <c r="O129">
        <v>350554</v>
      </c>
      <c r="P129">
        <v>912</v>
      </c>
      <c r="Q129">
        <v>302548</v>
      </c>
      <c r="R129">
        <v>4554</v>
      </c>
      <c r="S129">
        <v>18981</v>
      </c>
      <c r="T129">
        <v>107936</v>
      </c>
      <c r="U129">
        <v>99066</v>
      </c>
      <c r="V129">
        <v>174614</v>
      </c>
      <c r="W129">
        <v>53075</v>
      </c>
      <c r="X129">
        <v>38559</v>
      </c>
      <c r="Y129">
        <v>57540</v>
      </c>
      <c r="Z129">
        <v>3066039</v>
      </c>
      <c r="AA129">
        <v>0</v>
      </c>
      <c r="AB129">
        <v>32056</v>
      </c>
      <c r="AC129">
        <v>3069783</v>
      </c>
      <c r="AD129">
        <v>37548</v>
      </c>
      <c r="AF129">
        <v>3150104</v>
      </c>
      <c r="AG129">
        <v>0</v>
      </c>
      <c r="AH129">
        <v>18423</v>
      </c>
      <c r="AI129">
        <v>498268</v>
      </c>
      <c r="AJ129">
        <v>51966</v>
      </c>
      <c r="AK129">
        <v>4759</v>
      </c>
      <c r="AL129">
        <v>1920358</v>
      </c>
      <c r="AM129">
        <v>4482</v>
      </c>
      <c r="AN129">
        <v>767037</v>
      </c>
      <c r="AO129">
        <v>0</v>
      </c>
      <c r="AP129">
        <v>224326</v>
      </c>
      <c r="AQ129">
        <v>165676</v>
      </c>
      <c r="AR129">
        <v>3390</v>
      </c>
      <c r="AS129">
        <v>87678</v>
      </c>
      <c r="AT129">
        <v>11719</v>
      </c>
      <c r="AU129">
        <v>24459748</v>
      </c>
      <c r="AV129">
        <v>6208023</v>
      </c>
      <c r="AW129">
        <v>127482</v>
      </c>
      <c r="AX129">
        <v>27553</v>
      </c>
      <c r="AY129">
        <v>29479</v>
      </c>
      <c r="BA129">
        <v>6253</v>
      </c>
      <c r="BB129">
        <v>380056</v>
      </c>
      <c r="BC129">
        <v>7511</v>
      </c>
      <c r="BD129">
        <v>3928</v>
      </c>
      <c r="BE129">
        <v>4111</v>
      </c>
      <c r="BF129">
        <v>1185735</v>
      </c>
      <c r="BG129">
        <v>889</v>
      </c>
      <c r="BH129">
        <v>762067</v>
      </c>
      <c r="BI129">
        <v>153199</v>
      </c>
      <c r="BJ129">
        <v>5887</v>
      </c>
      <c r="BK129">
        <v>0</v>
      </c>
      <c r="BL129">
        <v>724544</v>
      </c>
      <c r="BM129">
        <v>966432</v>
      </c>
      <c r="BN129">
        <v>114241</v>
      </c>
      <c r="BO129">
        <v>3591159</v>
      </c>
      <c r="BP129">
        <v>8653940</v>
      </c>
      <c r="BQ129">
        <v>19055</v>
      </c>
      <c r="BR129">
        <v>27890</v>
      </c>
      <c r="BS129" s="180">
        <v>25989</v>
      </c>
      <c r="BT129" s="180">
        <v>884565</v>
      </c>
      <c r="BU129" s="180">
        <v>13489</v>
      </c>
      <c r="BV129" s="180">
        <v>14136</v>
      </c>
      <c r="BW129" s="180">
        <v>43968</v>
      </c>
      <c r="BX129" s="180">
        <v>207174</v>
      </c>
      <c r="BY129" s="180">
        <v>2577743</v>
      </c>
      <c r="BZ129" s="180">
        <v>12600</v>
      </c>
      <c r="CA129" s="180">
        <v>761544</v>
      </c>
      <c r="CB129" s="180">
        <v>52602</v>
      </c>
      <c r="CC129" s="180">
        <v>165209</v>
      </c>
      <c r="CD129" s="180">
        <v>2145454</v>
      </c>
      <c r="CE129" s="180"/>
      <c r="CF129" s="180"/>
      <c r="CG129" s="180"/>
      <c r="CH129" s="180"/>
      <c r="CI129" s="180"/>
      <c r="CJ129" s="180"/>
      <c r="CK129" s="180"/>
      <c r="CL129" s="180"/>
      <c r="CM129" s="180"/>
      <c r="CN129" s="180"/>
      <c r="CO129" s="180"/>
      <c r="CP129" s="180"/>
      <c r="CQ129" s="180"/>
      <c r="CR129" s="180"/>
      <c r="CS129" s="180"/>
      <c r="CT129" s="180"/>
      <c r="CU129" s="180"/>
    </row>
    <row r="130" spans="1:99" x14ac:dyDescent="0.3">
      <c r="A130">
        <v>530</v>
      </c>
      <c r="B130" t="s">
        <v>259</v>
      </c>
      <c r="E130">
        <v>79360</v>
      </c>
      <c r="F130">
        <v>255</v>
      </c>
      <c r="G130">
        <v>658</v>
      </c>
      <c r="H130">
        <v>6881</v>
      </c>
      <c r="I130">
        <v>0</v>
      </c>
      <c r="J130">
        <v>22</v>
      </c>
      <c r="K130">
        <v>656</v>
      </c>
      <c r="L130">
        <v>17618</v>
      </c>
      <c r="M130">
        <v>326157</v>
      </c>
      <c r="N130">
        <v>0</v>
      </c>
      <c r="O130">
        <v>9309</v>
      </c>
      <c r="P130">
        <v>283</v>
      </c>
      <c r="Q130">
        <v>59600</v>
      </c>
      <c r="R130">
        <v>3426</v>
      </c>
      <c r="S130">
        <v>5034</v>
      </c>
      <c r="T130">
        <v>510</v>
      </c>
      <c r="U130">
        <v>5350</v>
      </c>
      <c r="V130">
        <v>67330</v>
      </c>
      <c r="W130">
        <v>0</v>
      </c>
      <c r="X130">
        <v>2708</v>
      </c>
      <c r="Y130">
        <v>16285</v>
      </c>
      <c r="Z130">
        <v>47754</v>
      </c>
      <c r="AA130">
        <v>0</v>
      </c>
      <c r="AB130">
        <v>10499</v>
      </c>
      <c r="AC130">
        <v>78455</v>
      </c>
      <c r="AD130">
        <v>18574</v>
      </c>
      <c r="AF130">
        <v>292358</v>
      </c>
      <c r="AG130">
        <v>0</v>
      </c>
      <c r="AH130">
        <v>5535</v>
      </c>
      <c r="AI130">
        <v>29843</v>
      </c>
      <c r="AJ130">
        <v>2436</v>
      </c>
      <c r="AK130">
        <v>682</v>
      </c>
      <c r="AL130">
        <v>217279</v>
      </c>
      <c r="AM130">
        <v>4595</v>
      </c>
      <c r="AN130">
        <v>116834</v>
      </c>
      <c r="AO130">
        <v>0</v>
      </c>
      <c r="AP130">
        <v>19463</v>
      </c>
      <c r="AQ130">
        <v>13278</v>
      </c>
      <c r="AR130">
        <v>1151</v>
      </c>
      <c r="AS130">
        <v>12905</v>
      </c>
      <c r="AT130">
        <v>4112</v>
      </c>
      <c r="AU130">
        <v>1287701</v>
      </c>
      <c r="AV130">
        <v>149289</v>
      </c>
      <c r="AW130">
        <v>22215</v>
      </c>
      <c r="AX130">
        <v>1261</v>
      </c>
      <c r="AY130">
        <v>4554</v>
      </c>
      <c r="BA130">
        <v>10924</v>
      </c>
      <c r="BB130">
        <v>127522</v>
      </c>
      <c r="BC130">
        <v>974</v>
      </c>
      <c r="BD130">
        <v>506</v>
      </c>
      <c r="BE130">
        <v>501</v>
      </c>
      <c r="BF130">
        <v>71880</v>
      </c>
      <c r="BG130">
        <v>1041</v>
      </c>
      <c r="BH130">
        <v>36769</v>
      </c>
      <c r="BI130">
        <v>14358</v>
      </c>
      <c r="BJ130">
        <v>736</v>
      </c>
      <c r="BK130">
        <v>0</v>
      </c>
      <c r="BL130">
        <v>173638</v>
      </c>
      <c r="BM130">
        <v>148065</v>
      </c>
      <c r="BN130">
        <v>41514</v>
      </c>
      <c r="BO130">
        <v>298463</v>
      </c>
      <c r="BP130">
        <v>525882</v>
      </c>
      <c r="BQ130">
        <v>2917</v>
      </c>
      <c r="BR130">
        <v>4223</v>
      </c>
      <c r="BS130" s="180">
        <v>1562</v>
      </c>
      <c r="BT130" s="180">
        <v>49092</v>
      </c>
      <c r="BU130" s="180">
        <v>3453</v>
      </c>
      <c r="BV130" s="180">
        <v>9691</v>
      </c>
      <c r="BW130" s="180">
        <v>22717</v>
      </c>
      <c r="BX130" s="180">
        <v>11740</v>
      </c>
      <c r="BY130" s="180">
        <v>32192</v>
      </c>
      <c r="BZ130" s="180">
        <v>1637</v>
      </c>
      <c r="CA130" s="180">
        <v>18318</v>
      </c>
      <c r="CB130" s="180">
        <v>3633</v>
      </c>
      <c r="CC130" s="180">
        <v>27882</v>
      </c>
      <c r="CD130" s="180">
        <v>79445</v>
      </c>
      <c r="CE130" s="180"/>
      <c r="CF130" s="180"/>
      <c r="CG130" s="180"/>
      <c r="CH130" s="180"/>
      <c r="CI130" s="180"/>
      <c r="CJ130" s="180"/>
      <c r="CK130" s="180"/>
      <c r="CL130" s="180"/>
      <c r="CM130" s="180"/>
      <c r="CN130" s="180"/>
      <c r="CO130" s="180"/>
      <c r="CP130" s="180"/>
      <c r="CQ130" s="180"/>
      <c r="CR130" s="180"/>
      <c r="CS130" s="180"/>
      <c r="CT130" s="180"/>
      <c r="CU130" s="180"/>
    </row>
    <row r="131" spans="1:99" x14ac:dyDescent="0.3">
      <c r="A131">
        <v>531</v>
      </c>
      <c r="B131" t="s">
        <v>260</v>
      </c>
      <c r="E131">
        <v>0</v>
      </c>
      <c r="F131">
        <v>0</v>
      </c>
      <c r="G131">
        <v>0</v>
      </c>
      <c r="H131">
        <v>0</v>
      </c>
      <c r="I131">
        <v>0</v>
      </c>
      <c r="J131">
        <v>0</v>
      </c>
      <c r="K131">
        <v>41</v>
      </c>
      <c r="L131">
        <v>0</v>
      </c>
      <c r="M131">
        <v>0</v>
      </c>
      <c r="N131">
        <v>0</v>
      </c>
      <c r="O131">
        <v>866</v>
      </c>
      <c r="P131">
        <v>0</v>
      </c>
      <c r="Q131">
        <v>0</v>
      </c>
      <c r="R131">
        <v>0</v>
      </c>
      <c r="S131">
        <v>0</v>
      </c>
      <c r="T131">
        <v>0</v>
      </c>
      <c r="U131">
        <v>0</v>
      </c>
      <c r="V131">
        <v>0</v>
      </c>
      <c r="W131">
        <v>0</v>
      </c>
      <c r="X131">
        <v>0</v>
      </c>
      <c r="Y131">
        <v>0</v>
      </c>
      <c r="Z131">
        <v>0</v>
      </c>
      <c r="AA131">
        <v>0</v>
      </c>
      <c r="AB131">
        <v>293</v>
      </c>
      <c r="AC131">
        <v>0</v>
      </c>
      <c r="AD131">
        <v>0</v>
      </c>
      <c r="AF131">
        <v>57738</v>
      </c>
      <c r="AG131">
        <v>0</v>
      </c>
      <c r="AH131">
        <v>0</v>
      </c>
      <c r="AI131">
        <v>2653</v>
      </c>
      <c r="AJ131">
        <v>0</v>
      </c>
      <c r="AK131">
        <v>0</v>
      </c>
      <c r="AL131">
        <v>0</v>
      </c>
      <c r="AM131">
        <v>435</v>
      </c>
      <c r="AN131">
        <v>9784</v>
      </c>
      <c r="AO131">
        <v>0</v>
      </c>
      <c r="AP131">
        <v>0</v>
      </c>
      <c r="AQ131">
        <v>0</v>
      </c>
      <c r="AR131">
        <v>0</v>
      </c>
      <c r="AS131">
        <v>0</v>
      </c>
      <c r="AT131">
        <v>0</v>
      </c>
      <c r="AU131">
        <v>89317</v>
      </c>
      <c r="AV131">
        <v>0</v>
      </c>
      <c r="AW131">
        <v>0</v>
      </c>
      <c r="AX131">
        <v>0</v>
      </c>
      <c r="AY131">
        <v>0</v>
      </c>
      <c r="BA131">
        <v>0</v>
      </c>
      <c r="BB131">
        <v>0</v>
      </c>
      <c r="BC131">
        <v>0</v>
      </c>
      <c r="BD131">
        <v>66</v>
      </c>
      <c r="BE131">
        <v>0</v>
      </c>
      <c r="BF131">
        <v>0</v>
      </c>
      <c r="BG131">
        <v>0</v>
      </c>
      <c r="BH131">
        <v>0</v>
      </c>
      <c r="BI131">
        <v>0</v>
      </c>
      <c r="BJ131">
        <v>0</v>
      </c>
      <c r="BK131">
        <v>0</v>
      </c>
      <c r="BL131">
        <v>0</v>
      </c>
      <c r="BM131">
        <v>7000</v>
      </c>
      <c r="BN131">
        <v>0</v>
      </c>
      <c r="BO131">
        <v>0</v>
      </c>
      <c r="BP131">
        <v>26949</v>
      </c>
      <c r="BQ131">
        <v>0</v>
      </c>
      <c r="BR131">
        <v>0</v>
      </c>
      <c r="BS131" s="180">
        <v>0</v>
      </c>
      <c r="BT131" s="180">
        <v>0</v>
      </c>
      <c r="BU131" s="180">
        <v>0</v>
      </c>
      <c r="BV131" s="180">
        <v>0</v>
      </c>
      <c r="BW131" s="180">
        <v>0</v>
      </c>
      <c r="BX131" s="180">
        <v>0</v>
      </c>
      <c r="BY131" s="180">
        <v>17937</v>
      </c>
      <c r="BZ131" s="180">
        <v>260</v>
      </c>
      <c r="CA131" s="180">
        <v>0</v>
      </c>
      <c r="CB131" s="180">
        <v>0</v>
      </c>
      <c r="CC131" s="180">
        <v>17525</v>
      </c>
      <c r="CD131" s="180">
        <v>0</v>
      </c>
      <c r="CE131" s="180"/>
      <c r="CF131" s="180"/>
      <c r="CG131" s="180"/>
      <c r="CH131" s="180"/>
      <c r="CI131" s="180"/>
      <c r="CJ131" s="180"/>
      <c r="CK131" s="180"/>
      <c r="CL131" s="180"/>
      <c r="CM131" s="180"/>
      <c r="CN131" s="180"/>
      <c r="CO131" s="180"/>
      <c r="CP131" s="180"/>
      <c r="CQ131" s="180"/>
      <c r="CR131" s="180"/>
      <c r="CS131" s="180"/>
      <c r="CT131" s="180"/>
      <c r="CU131" s="180"/>
    </row>
    <row r="132" spans="1:99" x14ac:dyDescent="0.3">
      <c r="A132">
        <v>532</v>
      </c>
      <c r="B132" t="s">
        <v>887</v>
      </c>
      <c r="E132">
        <v>2420357</v>
      </c>
      <c r="F132">
        <v>349860</v>
      </c>
      <c r="G132">
        <v>1034064</v>
      </c>
      <c r="H132">
        <v>520468</v>
      </c>
      <c r="I132">
        <v>74226</v>
      </c>
      <c r="J132">
        <v>58728</v>
      </c>
      <c r="K132">
        <v>110073</v>
      </c>
      <c r="L132">
        <v>6917482</v>
      </c>
      <c r="M132">
        <v>178839239</v>
      </c>
      <c r="N132">
        <v>2814787</v>
      </c>
      <c r="O132">
        <v>8355297</v>
      </c>
      <c r="P132">
        <v>164084</v>
      </c>
      <c r="Q132">
        <v>13045444</v>
      </c>
      <c r="R132">
        <v>90428</v>
      </c>
      <c r="S132">
        <v>269443</v>
      </c>
      <c r="T132">
        <v>2535062</v>
      </c>
      <c r="U132">
        <v>1155873</v>
      </c>
      <c r="V132">
        <v>5094536</v>
      </c>
      <c r="W132">
        <v>2020275</v>
      </c>
      <c r="X132">
        <v>725939</v>
      </c>
      <c r="Y132">
        <v>1076002</v>
      </c>
      <c r="Z132">
        <v>42013293</v>
      </c>
      <c r="AA132">
        <v>1078655</v>
      </c>
      <c r="AB132">
        <v>528356</v>
      </c>
      <c r="AC132">
        <v>47115637</v>
      </c>
      <c r="AD132">
        <v>1393813</v>
      </c>
      <c r="AF132">
        <v>76606406</v>
      </c>
      <c r="AG132">
        <v>170281</v>
      </c>
      <c r="AH132">
        <v>296256</v>
      </c>
      <c r="AI132">
        <v>9824707</v>
      </c>
      <c r="AJ132">
        <v>1602230</v>
      </c>
      <c r="AK132">
        <v>92090</v>
      </c>
      <c r="AL132">
        <v>37645366</v>
      </c>
      <c r="AM132">
        <v>219347</v>
      </c>
      <c r="AN132">
        <v>16253758</v>
      </c>
      <c r="AO132">
        <v>48125</v>
      </c>
      <c r="AP132">
        <v>6220801</v>
      </c>
      <c r="AQ132">
        <v>2901056</v>
      </c>
      <c r="AR132">
        <v>69946</v>
      </c>
      <c r="AS132">
        <v>1449914</v>
      </c>
      <c r="AT132">
        <v>207370</v>
      </c>
      <c r="AU132">
        <v>308382730</v>
      </c>
      <c r="AV132">
        <v>83275606</v>
      </c>
      <c r="AW132">
        <v>2001568</v>
      </c>
      <c r="AX132">
        <v>383577</v>
      </c>
      <c r="AY132">
        <v>463192</v>
      </c>
      <c r="BA132">
        <v>498388</v>
      </c>
      <c r="BB132">
        <v>6253924</v>
      </c>
      <c r="BC132">
        <v>249527</v>
      </c>
      <c r="BD132">
        <v>118498</v>
      </c>
      <c r="BE132">
        <v>46319</v>
      </c>
      <c r="BF132">
        <v>16326687</v>
      </c>
      <c r="BG132">
        <v>27092</v>
      </c>
      <c r="BH132">
        <v>14437790</v>
      </c>
      <c r="BI132">
        <v>2860078</v>
      </c>
      <c r="BJ132">
        <v>236762</v>
      </c>
      <c r="BK132">
        <v>67306</v>
      </c>
      <c r="BL132">
        <v>18338482</v>
      </c>
      <c r="BM132">
        <v>23914493</v>
      </c>
      <c r="BN132">
        <v>2330635</v>
      </c>
      <c r="BO132">
        <v>67960489</v>
      </c>
      <c r="BP132">
        <v>112320760</v>
      </c>
      <c r="BQ132">
        <v>421291</v>
      </c>
      <c r="BR132">
        <v>6101464</v>
      </c>
      <c r="BS132" s="180">
        <v>942895</v>
      </c>
      <c r="BT132" s="180">
        <v>12272306</v>
      </c>
      <c r="BU132" s="180">
        <v>143080</v>
      </c>
      <c r="BV132" s="180">
        <v>255383</v>
      </c>
      <c r="BW132" s="180">
        <v>3696979</v>
      </c>
      <c r="BX132" s="180">
        <v>5935079</v>
      </c>
      <c r="BY132" s="180">
        <v>54365599</v>
      </c>
      <c r="BZ132" s="180">
        <v>371011</v>
      </c>
      <c r="CA132" s="180">
        <v>16627887</v>
      </c>
      <c r="CB132" s="180">
        <v>577544</v>
      </c>
      <c r="CC132" s="180">
        <v>4045542</v>
      </c>
      <c r="CD132" s="180">
        <v>59585770</v>
      </c>
      <c r="CE132" s="180"/>
      <c r="CF132" s="180"/>
      <c r="CG132" s="180"/>
      <c r="CH132" s="180"/>
      <c r="CI132" s="180"/>
      <c r="CJ132" s="180"/>
      <c r="CK132" s="180"/>
      <c r="CL132" s="180"/>
      <c r="CM132" s="180"/>
      <c r="CN132" s="180"/>
      <c r="CO132" s="180"/>
      <c r="CP132" s="180"/>
      <c r="CQ132" s="180"/>
      <c r="CR132" s="180"/>
      <c r="CS132" s="180"/>
      <c r="CT132" s="180"/>
      <c r="CU132" s="180"/>
    </row>
    <row r="133" spans="1:99" x14ac:dyDescent="0.3">
      <c r="A133">
        <v>533</v>
      </c>
      <c r="B133" t="s">
        <v>888</v>
      </c>
      <c r="E133">
        <v>0</v>
      </c>
      <c r="F133">
        <v>0</v>
      </c>
      <c r="G133">
        <v>0</v>
      </c>
      <c r="H133">
        <v>0</v>
      </c>
      <c r="I133">
        <v>0</v>
      </c>
      <c r="J133">
        <v>0</v>
      </c>
      <c r="K133">
        <v>0</v>
      </c>
      <c r="L133">
        <v>76207</v>
      </c>
      <c r="M133">
        <v>1265000</v>
      </c>
      <c r="N133">
        <v>0</v>
      </c>
      <c r="O133">
        <v>44779</v>
      </c>
      <c r="P133">
        <v>0</v>
      </c>
      <c r="Q133">
        <v>319603</v>
      </c>
      <c r="R133">
        <v>0</v>
      </c>
      <c r="S133">
        <v>0</v>
      </c>
      <c r="T133">
        <v>112000</v>
      </c>
      <c r="U133">
        <v>0</v>
      </c>
      <c r="V133">
        <v>66607</v>
      </c>
      <c r="W133">
        <v>0</v>
      </c>
      <c r="X133">
        <v>0</v>
      </c>
      <c r="Y133">
        <v>0</v>
      </c>
      <c r="Z133">
        <v>48524</v>
      </c>
      <c r="AA133">
        <v>0</v>
      </c>
      <c r="AB133">
        <v>0</v>
      </c>
      <c r="AC133">
        <v>1331474</v>
      </c>
      <c r="AD133">
        <v>0</v>
      </c>
      <c r="AF133">
        <v>1608299</v>
      </c>
      <c r="AG133">
        <v>0</v>
      </c>
      <c r="AH133">
        <v>0</v>
      </c>
      <c r="AI133">
        <v>583901</v>
      </c>
      <c r="AJ133">
        <v>0</v>
      </c>
      <c r="AK133">
        <v>0</v>
      </c>
      <c r="AL133">
        <v>881400</v>
      </c>
      <c r="AM133">
        <v>0</v>
      </c>
      <c r="AN133">
        <v>0</v>
      </c>
      <c r="AO133">
        <v>0</v>
      </c>
      <c r="AP133">
        <v>31216</v>
      </c>
      <c r="AQ133">
        <v>0</v>
      </c>
      <c r="AR133">
        <v>0</v>
      </c>
      <c r="AS133">
        <v>0</v>
      </c>
      <c r="AT133">
        <v>0</v>
      </c>
      <c r="AU133">
        <v>1976703</v>
      </c>
      <c r="AV133">
        <v>0</v>
      </c>
      <c r="AW133">
        <v>70081</v>
      </c>
      <c r="AX133">
        <v>0</v>
      </c>
      <c r="AY133">
        <v>0</v>
      </c>
      <c r="BA133">
        <v>0</v>
      </c>
      <c r="BB133">
        <v>0</v>
      </c>
      <c r="BC133">
        <v>0</v>
      </c>
      <c r="BD133">
        <v>0</v>
      </c>
      <c r="BE133">
        <v>0</v>
      </c>
      <c r="BF133">
        <v>24456</v>
      </c>
      <c r="BG133">
        <v>0</v>
      </c>
      <c r="BH133">
        <v>0</v>
      </c>
      <c r="BI133">
        <v>0</v>
      </c>
      <c r="BJ133">
        <v>0</v>
      </c>
      <c r="BK133">
        <v>0</v>
      </c>
      <c r="BL133">
        <v>1036694</v>
      </c>
      <c r="BM133">
        <v>1254350</v>
      </c>
      <c r="BN133">
        <v>68241</v>
      </c>
      <c r="BO133">
        <v>3562706</v>
      </c>
      <c r="BP133">
        <v>3033897</v>
      </c>
      <c r="BQ133">
        <v>0</v>
      </c>
      <c r="BR133">
        <v>0</v>
      </c>
      <c r="BS133" s="180">
        <v>0</v>
      </c>
      <c r="BT133" s="180">
        <v>0</v>
      </c>
      <c r="BU133" s="180">
        <v>0</v>
      </c>
      <c r="BV133" s="180">
        <v>0</v>
      </c>
      <c r="BW133" s="180">
        <v>81597</v>
      </c>
      <c r="BX133" s="180">
        <v>35194</v>
      </c>
      <c r="BY133" s="180">
        <v>460000</v>
      </c>
      <c r="BZ133" s="180">
        <v>0</v>
      </c>
      <c r="CA133" s="180">
        <v>419847</v>
      </c>
      <c r="CB133" s="180">
        <v>70000</v>
      </c>
      <c r="CC133" s="180">
        <v>0</v>
      </c>
      <c r="CD133" s="180">
        <v>601153</v>
      </c>
      <c r="CE133" s="180"/>
      <c r="CF133" s="180"/>
      <c r="CG133" s="180"/>
      <c r="CH133" s="180"/>
      <c r="CI133" s="180"/>
      <c r="CJ133" s="180"/>
      <c r="CK133" s="180"/>
      <c r="CL133" s="180"/>
      <c r="CM133" s="180"/>
      <c r="CN133" s="180"/>
      <c r="CO133" s="180"/>
      <c r="CP133" s="180"/>
      <c r="CQ133" s="180"/>
      <c r="CR133" s="180"/>
      <c r="CS133" s="180"/>
      <c r="CT133" s="180"/>
      <c r="CU133" s="180"/>
    </row>
    <row r="134" spans="1:99" x14ac:dyDescent="0.3">
      <c r="A134">
        <v>535</v>
      </c>
      <c r="B134" t="s">
        <v>244</v>
      </c>
      <c r="E134">
        <v>0</v>
      </c>
      <c r="F134">
        <v>0</v>
      </c>
      <c r="G134">
        <v>0</v>
      </c>
      <c r="H134">
        <v>0</v>
      </c>
      <c r="I134">
        <v>0</v>
      </c>
      <c r="J134">
        <v>0</v>
      </c>
      <c r="K134">
        <v>0</v>
      </c>
      <c r="L134">
        <v>0</v>
      </c>
      <c r="M134">
        <v>25281116</v>
      </c>
      <c r="N134">
        <v>0</v>
      </c>
      <c r="O134">
        <v>0</v>
      </c>
      <c r="P134">
        <v>0</v>
      </c>
      <c r="Q134">
        <v>221141</v>
      </c>
      <c r="R134">
        <v>0</v>
      </c>
      <c r="S134">
        <v>0</v>
      </c>
      <c r="T134">
        <v>0</v>
      </c>
      <c r="U134">
        <v>0</v>
      </c>
      <c r="V134">
        <v>0</v>
      </c>
      <c r="W134">
        <v>0</v>
      </c>
      <c r="X134">
        <v>0</v>
      </c>
      <c r="Y134">
        <v>0</v>
      </c>
      <c r="Z134">
        <v>6907650</v>
      </c>
      <c r="AA134">
        <v>0</v>
      </c>
      <c r="AB134">
        <v>0</v>
      </c>
      <c r="AC134">
        <v>20783984</v>
      </c>
      <c r="AD134">
        <v>0</v>
      </c>
      <c r="AF134">
        <v>39604500</v>
      </c>
      <c r="AG134">
        <v>0</v>
      </c>
      <c r="AH134">
        <v>0</v>
      </c>
      <c r="AI134">
        <v>863568</v>
      </c>
      <c r="AJ134">
        <v>0</v>
      </c>
      <c r="AK134">
        <v>0</v>
      </c>
      <c r="AL134">
        <v>2979965</v>
      </c>
      <c r="AM134">
        <v>0</v>
      </c>
      <c r="AN134">
        <v>0</v>
      </c>
      <c r="AO134">
        <v>0</v>
      </c>
      <c r="AP134">
        <v>0</v>
      </c>
      <c r="AQ134">
        <v>0</v>
      </c>
      <c r="AR134">
        <v>0</v>
      </c>
      <c r="AS134">
        <v>0</v>
      </c>
      <c r="AT134">
        <v>0</v>
      </c>
      <c r="AU134">
        <v>104272379</v>
      </c>
      <c r="AV134">
        <v>4980542</v>
      </c>
      <c r="AW134">
        <v>75180</v>
      </c>
      <c r="AX134">
        <v>0</v>
      </c>
      <c r="AY134">
        <v>0</v>
      </c>
      <c r="BA134">
        <v>0</v>
      </c>
      <c r="BB134">
        <v>0</v>
      </c>
      <c r="BC134">
        <v>0</v>
      </c>
      <c r="BD134">
        <v>0</v>
      </c>
      <c r="BE134">
        <v>0</v>
      </c>
      <c r="BF134">
        <v>224452</v>
      </c>
      <c r="BG134">
        <v>0</v>
      </c>
      <c r="BH134">
        <v>0</v>
      </c>
      <c r="BI134">
        <v>0</v>
      </c>
      <c r="BJ134">
        <v>0</v>
      </c>
      <c r="BK134">
        <v>0</v>
      </c>
      <c r="BL134">
        <v>0</v>
      </c>
      <c r="BM134">
        <v>22477006</v>
      </c>
      <c r="BN134">
        <v>0</v>
      </c>
      <c r="BO134">
        <v>14259218</v>
      </c>
      <c r="BP134">
        <v>15033498</v>
      </c>
      <c r="BQ134">
        <v>0</v>
      </c>
      <c r="BR134">
        <v>0</v>
      </c>
      <c r="BS134" s="180">
        <v>0</v>
      </c>
      <c r="BT134" s="180">
        <v>0</v>
      </c>
      <c r="BU134" s="180">
        <v>0</v>
      </c>
      <c r="BV134" s="180">
        <v>0</v>
      </c>
      <c r="BW134" s="180">
        <v>0</v>
      </c>
      <c r="BX134" s="180">
        <v>0</v>
      </c>
      <c r="BY134" s="180">
        <v>17284986</v>
      </c>
      <c r="BZ134" s="180">
        <v>0</v>
      </c>
      <c r="CA134" s="180">
        <v>0</v>
      </c>
      <c r="CB134" s="180">
        <v>0</v>
      </c>
      <c r="CC134" s="180">
        <v>0</v>
      </c>
      <c r="CD134" s="180">
        <v>8497297</v>
      </c>
      <c r="CE134" s="180"/>
      <c r="CF134" s="180"/>
      <c r="CG134" s="180"/>
      <c r="CH134" s="180"/>
      <c r="CI134" s="180"/>
      <c r="CJ134" s="180"/>
      <c r="CK134" s="180"/>
      <c r="CL134" s="180"/>
      <c r="CM134" s="180"/>
      <c r="CN134" s="180"/>
      <c r="CO134" s="180"/>
      <c r="CP134" s="180"/>
      <c r="CQ134" s="180"/>
      <c r="CR134" s="180"/>
      <c r="CS134" s="180"/>
      <c r="CT134" s="180"/>
      <c r="CU134" s="180"/>
    </row>
    <row r="135" spans="1:99" x14ac:dyDescent="0.3">
      <c r="A135">
        <v>536</v>
      </c>
      <c r="B135" t="s">
        <v>190</v>
      </c>
      <c r="E135">
        <v>111344</v>
      </c>
      <c r="F135">
        <v>0</v>
      </c>
      <c r="G135">
        <v>781</v>
      </c>
      <c r="H135">
        <v>150882</v>
      </c>
      <c r="I135">
        <v>39880</v>
      </c>
      <c r="J135">
        <v>17373</v>
      </c>
      <c r="K135">
        <v>97861</v>
      </c>
      <c r="L135">
        <v>709387</v>
      </c>
      <c r="M135">
        <v>3460396</v>
      </c>
      <c r="N135">
        <v>0</v>
      </c>
      <c r="O135">
        <v>536624</v>
      </c>
      <c r="P135">
        <v>26032</v>
      </c>
      <c r="Q135">
        <v>504949</v>
      </c>
      <c r="R135">
        <v>71644</v>
      </c>
      <c r="S135">
        <v>52064</v>
      </c>
      <c r="T135">
        <v>9805</v>
      </c>
      <c r="U135">
        <v>0</v>
      </c>
      <c r="V135">
        <v>681169</v>
      </c>
      <c r="W135">
        <v>0</v>
      </c>
      <c r="X135">
        <v>83507</v>
      </c>
      <c r="Y135">
        <v>57323</v>
      </c>
      <c r="Z135">
        <v>2582334</v>
      </c>
      <c r="AA135">
        <v>0</v>
      </c>
      <c r="AB135">
        <v>345289</v>
      </c>
      <c r="AC135">
        <v>0</v>
      </c>
      <c r="AD135">
        <v>78232</v>
      </c>
      <c r="AF135">
        <v>4735765</v>
      </c>
      <c r="AG135">
        <v>93043</v>
      </c>
      <c r="AH135">
        <v>14680</v>
      </c>
      <c r="AI135">
        <v>732588</v>
      </c>
      <c r="AJ135">
        <v>96353</v>
      </c>
      <c r="AK135">
        <v>35562</v>
      </c>
      <c r="AL135">
        <v>2740148</v>
      </c>
      <c r="AM135">
        <v>39146</v>
      </c>
      <c r="AN135">
        <v>233344</v>
      </c>
      <c r="AO135">
        <v>0</v>
      </c>
      <c r="AP135">
        <v>111784</v>
      </c>
      <c r="AQ135">
        <v>92652</v>
      </c>
      <c r="AR135">
        <v>0</v>
      </c>
      <c r="AS135">
        <v>225826</v>
      </c>
      <c r="AT135">
        <v>40130</v>
      </c>
      <c r="AU135">
        <v>1859682</v>
      </c>
      <c r="AV135">
        <v>1266300</v>
      </c>
      <c r="AW135">
        <v>3290</v>
      </c>
      <c r="AX135">
        <v>41158</v>
      </c>
      <c r="AY135">
        <v>121237</v>
      </c>
      <c r="BA135">
        <v>37212</v>
      </c>
      <c r="BB135">
        <v>1313883</v>
      </c>
      <c r="BC135">
        <v>0</v>
      </c>
      <c r="BD135">
        <v>3764</v>
      </c>
      <c r="BE135">
        <v>15858</v>
      </c>
      <c r="BF135">
        <v>259479</v>
      </c>
      <c r="BG135">
        <v>22665</v>
      </c>
      <c r="BH135">
        <v>518715</v>
      </c>
      <c r="BI135">
        <v>473574</v>
      </c>
      <c r="BJ135">
        <v>80120</v>
      </c>
      <c r="BK135">
        <v>50602</v>
      </c>
      <c r="BL135">
        <v>1365631</v>
      </c>
      <c r="BM135">
        <v>124449</v>
      </c>
      <c r="BN135">
        <v>263634</v>
      </c>
      <c r="BO135">
        <v>106794</v>
      </c>
      <c r="BP135">
        <v>1916717</v>
      </c>
      <c r="BQ135">
        <v>40399</v>
      </c>
      <c r="BR135">
        <v>149799</v>
      </c>
      <c r="BS135" s="180">
        <v>444651</v>
      </c>
      <c r="BT135" s="180">
        <v>801640</v>
      </c>
      <c r="BU135" s="180">
        <v>67931</v>
      </c>
      <c r="BV135" s="180">
        <v>105205</v>
      </c>
      <c r="BW135" s="180">
        <v>0</v>
      </c>
      <c r="BX135" s="180">
        <v>195380</v>
      </c>
      <c r="BY135" s="180">
        <v>12057621</v>
      </c>
      <c r="BZ135" s="180">
        <v>48855</v>
      </c>
      <c r="CA135" s="180">
        <v>315068</v>
      </c>
      <c r="CB135" s="180">
        <v>37085</v>
      </c>
      <c r="CC135" s="180">
        <v>213501</v>
      </c>
      <c r="CD135" s="180">
        <v>12313518</v>
      </c>
      <c r="CE135" s="180"/>
      <c r="CF135" s="180"/>
      <c r="CG135" s="180"/>
      <c r="CH135" s="180"/>
      <c r="CI135" s="180"/>
      <c r="CJ135" s="180"/>
      <c r="CK135" s="180"/>
      <c r="CL135" s="180"/>
      <c r="CM135" s="180"/>
      <c r="CN135" s="180"/>
      <c r="CO135" s="180"/>
      <c r="CP135" s="180"/>
      <c r="CQ135" s="180"/>
      <c r="CR135" s="180"/>
      <c r="CS135" s="180"/>
      <c r="CT135" s="180"/>
      <c r="CU135" s="180"/>
    </row>
    <row r="136" spans="1:99" x14ac:dyDescent="0.3">
      <c r="A136">
        <v>537</v>
      </c>
      <c r="B136" t="s">
        <v>280</v>
      </c>
      <c r="E136">
        <v>2</v>
      </c>
      <c r="F136">
        <v>0</v>
      </c>
      <c r="G136">
        <v>2</v>
      </c>
      <c r="H136">
        <v>2</v>
      </c>
      <c r="I136">
        <v>1</v>
      </c>
      <c r="J136">
        <v>0</v>
      </c>
      <c r="K136">
        <v>2</v>
      </c>
      <c r="L136">
        <v>1</v>
      </c>
      <c r="M136">
        <v>0</v>
      </c>
      <c r="N136">
        <v>0</v>
      </c>
      <c r="O136">
        <v>0</v>
      </c>
      <c r="P136">
        <v>2</v>
      </c>
      <c r="Q136">
        <v>2</v>
      </c>
      <c r="R136">
        <v>0</v>
      </c>
      <c r="S136">
        <v>2</v>
      </c>
      <c r="T136">
        <v>2</v>
      </c>
      <c r="U136">
        <v>2</v>
      </c>
      <c r="V136">
        <v>1</v>
      </c>
      <c r="W136">
        <v>0</v>
      </c>
      <c r="X136">
        <v>2</v>
      </c>
      <c r="Y136">
        <v>1</v>
      </c>
      <c r="Z136">
        <v>1</v>
      </c>
      <c r="AA136">
        <v>2</v>
      </c>
      <c r="AB136">
        <v>2</v>
      </c>
      <c r="AC136">
        <v>0</v>
      </c>
      <c r="AD136">
        <v>0</v>
      </c>
      <c r="AF136">
        <v>1</v>
      </c>
      <c r="AG136">
        <v>0</v>
      </c>
      <c r="AH136">
        <v>2</v>
      </c>
      <c r="AI136">
        <v>2</v>
      </c>
      <c r="AJ136">
        <v>2</v>
      </c>
      <c r="AK136">
        <v>2</v>
      </c>
      <c r="AL136">
        <v>1</v>
      </c>
      <c r="AM136">
        <v>2</v>
      </c>
      <c r="AN136">
        <v>1</v>
      </c>
      <c r="AO136">
        <v>2</v>
      </c>
      <c r="AP136">
        <v>1</v>
      </c>
      <c r="AQ136">
        <v>0</v>
      </c>
      <c r="AR136">
        <v>0</v>
      </c>
      <c r="AS136">
        <v>2</v>
      </c>
      <c r="AT136">
        <v>2</v>
      </c>
      <c r="AU136">
        <v>1</v>
      </c>
      <c r="AV136">
        <v>1</v>
      </c>
      <c r="AW136">
        <v>2</v>
      </c>
      <c r="AX136">
        <v>2</v>
      </c>
      <c r="AY136">
        <v>2</v>
      </c>
      <c r="BA136">
        <v>1</v>
      </c>
      <c r="BB136">
        <v>2</v>
      </c>
      <c r="BC136">
        <v>2</v>
      </c>
      <c r="BD136">
        <v>0</v>
      </c>
      <c r="BE136">
        <v>1</v>
      </c>
      <c r="BF136">
        <v>1</v>
      </c>
      <c r="BG136">
        <v>0</v>
      </c>
      <c r="BH136">
        <v>1</v>
      </c>
      <c r="BI136">
        <v>1</v>
      </c>
      <c r="BJ136">
        <v>2</v>
      </c>
      <c r="BK136">
        <v>0</v>
      </c>
      <c r="BL136">
        <v>2</v>
      </c>
      <c r="BM136">
        <v>1</v>
      </c>
      <c r="BN136">
        <v>1</v>
      </c>
      <c r="BO136">
        <v>1</v>
      </c>
      <c r="BP136">
        <v>1</v>
      </c>
      <c r="BQ136">
        <v>2</v>
      </c>
      <c r="BR136">
        <v>2</v>
      </c>
      <c r="BS136" s="180">
        <v>0</v>
      </c>
      <c r="BT136" s="180">
        <v>2</v>
      </c>
      <c r="BU136" s="180">
        <v>1</v>
      </c>
      <c r="BV136" s="180">
        <v>2</v>
      </c>
      <c r="BW136" s="180">
        <v>2</v>
      </c>
      <c r="BX136" s="180">
        <v>0</v>
      </c>
      <c r="BY136" s="180">
        <v>1</v>
      </c>
      <c r="BZ136" s="180">
        <v>2</v>
      </c>
      <c r="CA136" s="180">
        <v>0</v>
      </c>
      <c r="CB136" s="180">
        <v>1</v>
      </c>
      <c r="CC136" s="180">
        <v>0</v>
      </c>
      <c r="CD136" s="180">
        <v>2</v>
      </c>
      <c r="CE136" s="180"/>
      <c r="CF136" s="180"/>
      <c r="CG136" s="180"/>
      <c r="CH136" s="180"/>
      <c r="CI136" s="180"/>
      <c r="CJ136" s="180"/>
      <c r="CK136" s="180"/>
      <c r="CL136" s="180"/>
      <c r="CM136" s="180"/>
      <c r="CN136" s="180"/>
      <c r="CO136" s="180"/>
      <c r="CP136" s="180"/>
      <c r="CQ136" s="180"/>
      <c r="CR136" s="180"/>
      <c r="CS136" s="180"/>
      <c r="CT136" s="180"/>
      <c r="CU136" s="180"/>
    </row>
    <row r="137" spans="1:99" x14ac:dyDescent="0.3">
      <c r="A137">
        <v>538</v>
      </c>
      <c r="B137" t="s">
        <v>279</v>
      </c>
      <c r="E137">
        <v>2</v>
      </c>
      <c r="F137">
        <v>0</v>
      </c>
      <c r="G137">
        <v>2</v>
      </c>
      <c r="H137">
        <v>2</v>
      </c>
      <c r="I137">
        <v>1</v>
      </c>
      <c r="J137">
        <v>0</v>
      </c>
      <c r="K137">
        <v>1</v>
      </c>
      <c r="L137">
        <v>1</v>
      </c>
      <c r="M137">
        <v>0</v>
      </c>
      <c r="N137">
        <v>0</v>
      </c>
      <c r="O137">
        <v>0</v>
      </c>
      <c r="P137">
        <v>2</v>
      </c>
      <c r="Q137">
        <v>2</v>
      </c>
      <c r="R137">
        <v>0</v>
      </c>
      <c r="S137">
        <v>1</v>
      </c>
      <c r="T137">
        <v>2</v>
      </c>
      <c r="U137">
        <v>2</v>
      </c>
      <c r="V137">
        <v>1</v>
      </c>
      <c r="W137">
        <v>0</v>
      </c>
      <c r="X137">
        <v>2</v>
      </c>
      <c r="Y137">
        <v>1</v>
      </c>
      <c r="Z137">
        <v>1</v>
      </c>
      <c r="AA137">
        <v>2</v>
      </c>
      <c r="AB137">
        <v>2</v>
      </c>
      <c r="AC137">
        <v>0</v>
      </c>
      <c r="AD137">
        <v>0</v>
      </c>
      <c r="AF137">
        <v>2</v>
      </c>
      <c r="AG137">
        <v>0</v>
      </c>
      <c r="AH137">
        <v>1</v>
      </c>
      <c r="AI137">
        <v>2</v>
      </c>
      <c r="AJ137">
        <v>2</v>
      </c>
      <c r="AK137">
        <v>1</v>
      </c>
      <c r="AL137">
        <v>1</v>
      </c>
      <c r="AM137">
        <v>2</v>
      </c>
      <c r="AN137">
        <v>1</v>
      </c>
      <c r="AO137">
        <v>2</v>
      </c>
      <c r="AP137">
        <v>1</v>
      </c>
      <c r="AQ137">
        <v>0</v>
      </c>
      <c r="AR137">
        <v>0</v>
      </c>
      <c r="AS137">
        <v>2</v>
      </c>
      <c r="AT137">
        <v>2</v>
      </c>
      <c r="AU137">
        <v>1</v>
      </c>
      <c r="AV137">
        <v>1</v>
      </c>
      <c r="AW137">
        <v>2</v>
      </c>
      <c r="AX137">
        <v>1</v>
      </c>
      <c r="AY137">
        <v>2</v>
      </c>
      <c r="BA137">
        <v>1</v>
      </c>
      <c r="BB137">
        <v>2</v>
      </c>
      <c r="BC137">
        <v>2</v>
      </c>
      <c r="BD137">
        <v>0</v>
      </c>
      <c r="BE137">
        <v>1</v>
      </c>
      <c r="BF137">
        <v>1</v>
      </c>
      <c r="BG137">
        <v>0</v>
      </c>
      <c r="BH137">
        <v>1</v>
      </c>
      <c r="BI137">
        <v>1</v>
      </c>
      <c r="BJ137">
        <v>2</v>
      </c>
      <c r="BK137">
        <v>0</v>
      </c>
      <c r="BL137">
        <v>2</v>
      </c>
      <c r="BM137">
        <v>1</v>
      </c>
      <c r="BN137">
        <v>1</v>
      </c>
      <c r="BO137">
        <v>1</v>
      </c>
      <c r="BP137">
        <v>1</v>
      </c>
      <c r="BQ137">
        <v>2</v>
      </c>
      <c r="BR137">
        <v>2</v>
      </c>
      <c r="BS137" s="180">
        <v>0</v>
      </c>
      <c r="BT137" s="180">
        <v>2</v>
      </c>
      <c r="BU137" s="180">
        <v>2</v>
      </c>
      <c r="BV137" s="180">
        <v>2</v>
      </c>
      <c r="BW137" s="180">
        <v>2</v>
      </c>
      <c r="BX137" s="180">
        <v>0</v>
      </c>
      <c r="BY137" s="180">
        <v>1</v>
      </c>
      <c r="BZ137" s="180">
        <v>1</v>
      </c>
      <c r="CA137" s="180">
        <v>0</v>
      </c>
      <c r="CB137" s="180">
        <v>1</v>
      </c>
      <c r="CC137" s="180">
        <v>0</v>
      </c>
      <c r="CD137" s="180">
        <v>2</v>
      </c>
      <c r="CE137" s="180"/>
      <c r="CF137" s="180"/>
      <c r="CG137" s="180"/>
      <c r="CH137" s="180"/>
      <c r="CI137" s="180"/>
      <c r="CJ137" s="180"/>
      <c r="CK137" s="180"/>
      <c r="CL137" s="180"/>
      <c r="CM137" s="180"/>
      <c r="CN137" s="180"/>
      <c r="CO137" s="180"/>
      <c r="CP137" s="180"/>
      <c r="CQ137" s="180"/>
      <c r="CR137" s="180"/>
      <c r="CS137" s="180"/>
      <c r="CT137" s="180"/>
      <c r="CU137" s="180"/>
    </row>
    <row r="138" spans="1:99" x14ac:dyDescent="0.3">
      <c r="A138">
        <v>540</v>
      </c>
      <c r="B138" t="s">
        <v>253</v>
      </c>
      <c r="E138">
        <v>19550</v>
      </c>
      <c r="F138">
        <v>0</v>
      </c>
      <c r="G138">
        <v>0</v>
      </c>
      <c r="H138">
        <v>54700</v>
      </c>
      <c r="I138">
        <v>0</v>
      </c>
      <c r="J138">
        <v>0</v>
      </c>
      <c r="K138">
        <v>0</v>
      </c>
      <c r="L138">
        <v>721136</v>
      </c>
      <c r="M138">
        <v>5928086</v>
      </c>
      <c r="N138">
        <v>0</v>
      </c>
      <c r="O138">
        <v>242960</v>
      </c>
      <c r="P138">
        <v>0</v>
      </c>
      <c r="Q138">
        <v>1051124</v>
      </c>
      <c r="R138">
        <v>0</v>
      </c>
      <c r="S138">
        <v>0</v>
      </c>
      <c r="T138">
        <v>0</v>
      </c>
      <c r="U138">
        <v>0</v>
      </c>
      <c r="V138">
        <v>0</v>
      </c>
      <c r="W138">
        <v>0</v>
      </c>
      <c r="X138">
        <v>0</v>
      </c>
      <c r="Y138">
        <v>0</v>
      </c>
      <c r="Z138">
        <v>0</v>
      </c>
      <c r="AA138">
        <v>0</v>
      </c>
      <c r="AB138">
        <v>28375</v>
      </c>
      <c r="AC138">
        <v>3450998</v>
      </c>
      <c r="AD138">
        <v>121044</v>
      </c>
      <c r="AF138">
        <v>74827</v>
      </c>
      <c r="AG138">
        <v>0</v>
      </c>
      <c r="AH138">
        <v>20000</v>
      </c>
      <c r="AI138">
        <v>1060823</v>
      </c>
      <c r="AJ138">
        <v>122140</v>
      </c>
      <c r="AK138">
        <v>0</v>
      </c>
      <c r="AL138">
        <v>1500000</v>
      </c>
      <c r="AM138">
        <v>0</v>
      </c>
      <c r="AN138">
        <v>1246245</v>
      </c>
      <c r="AO138">
        <v>0</v>
      </c>
      <c r="AP138">
        <v>614000</v>
      </c>
      <c r="AQ138">
        <v>0</v>
      </c>
      <c r="AR138">
        <v>0</v>
      </c>
      <c r="AS138">
        <v>0</v>
      </c>
      <c r="AT138">
        <v>0</v>
      </c>
      <c r="AU138">
        <v>6534498</v>
      </c>
      <c r="AV138">
        <v>500000</v>
      </c>
      <c r="AW138">
        <v>0</v>
      </c>
      <c r="AX138">
        <v>17282</v>
      </c>
      <c r="AY138">
        <v>0</v>
      </c>
      <c r="BA138">
        <v>0</v>
      </c>
      <c r="BB138">
        <v>1525042</v>
      </c>
      <c r="BC138">
        <v>0</v>
      </c>
      <c r="BD138">
        <v>0</v>
      </c>
      <c r="BE138">
        <v>0</v>
      </c>
      <c r="BF138">
        <v>0</v>
      </c>
      <c r="BG138">
        <v>0</v>
      </c>
      <c r="BH138">
        <v>170000</v>
      </c>
      <c r="BI138">
        <v>0</v>
      </c>
      <c r="BJ138">
        <v>0</v>
      </c>
      <c r="BK138">
        <v>0</v>
      </c>
      <c r="BL138">
        <v>2789400</v>
      </c>
      <c r="BM138">
        <v>2614518</v>
      </c>
      <c r="BN138">
        <v>0</v>
      </c>
      <c r="BO138">
        <v>513325</v>
      </c>
      <c r="BP138">
        <v>1000000</v>
      </c>
      <c r="BQ138">
        <v>0</v>
      </c>
      <c r="BR138">
        <v>2203020</v>
      </c>
      <c r="BS138" s="180">
        <v>207196</v>
      </c>
      <c r="BT138" s="180">
        <v>1606221</v>
      </c>
      <c r="BU138" s="180">
        <v>0</v>
      </c>
      <c r="BV138" s="180">
        <v>83619</v>
      </c>
      <c r="BW138" s="180">
        <v>431940</v>
      </c>
      <c r="BX138" s="180">
        <v>0</v>
      </c>
      <c r="BY138" s="180">
        <v>0</v>
      </c>
      <c r="BZ138" s="180">
        <v>75000</v>
      </c>
      <c r="CA138" s="180">
        <v>0</v>
      </c>
      <c r="CB138" s="180">
        <v>18965</v>
      </c>
      <c r="CC138" s="180">
        <v>86484</v>
      </c>
      <c r="CD138" s="180">
        <v>715000</v>
      </c>
      <c r="CE138" s="180"/>
      <c r="CF138" s="180"/>
      <c r="CG138" s="180"/>
      <c r="CH138" s="180"/>
      <c r="CI138" s="180"/>
      <c r="CJ138" s="180"/>
      <c r="CK138" s="180"/>
      <c r="CL138" s="180"/>
      <c r="CM138" s="180"/>
      <c r="CN138" s="180"/>
      <c r="CO138" s="180"/>
      <c r="CP138" s="180"/>
      <c r="CQ138" s="180"/>
      <c r="CR138" s="180"/>
      <c r="CS138" s="180"/>
      <c r="CT138" s="180"/>
      <c r="CU138" s="180"/>
    </row>
    <row r="139" spans="1:99" x14ac:dyDescent="0.3">
      <c r="A139">
        <v>541</v>
      </c>
      <c r="B139" t="s">
        <v>308</v>
      </c>
      <c r="E139">
        <v>36020</v>
      </c>
      <c r="F139">
        <v>0</v>
      </c>
      <c r="G139">
        <v>120635</v>
      </c>
      <c r="H139">
        <v>339052</v>
      </c>
      <c r="I139">
        <v>-1412</v>
      </c>
      <c r="J139">
        <v>0</v>
      </c>
      <c r="K139">
        <v>16552</v>
      </c>
      <c r="L139">
        <v>898214</v>
      </c>
      <c r="M139">
        <v>0</v>
      </c>
      <c r="N139">
        <v>0</v>
      </c>
      <c r="O139">
        <v>0</v>
      </c>
      <c r="P139">
        <v>6004</v>
      </c>
      <c r="Q139">
        <v>-319976</v>
      </c>
      <c r="R139">
        <v>0</v>
      </c>
      <c r="S139">
        <v>24738</v>
      </c>
      <c r="T139">
        <v>-10066</v>
      </c>
      <c r="U139">
        <v>97433</v>
      </c>
      <c r="V139">
        <v>845477</v>
      </c>
      <c r="W139">
        <v>0</v>
      </c>
      <c r="X139">
        <v>61162</v>
      </c>
      <c r="Y139">
        <v>478207</v>
      </c>
      <c r="Z139">
        <v>5841598</v>
      </c>
      <c r="AA139">
        <v>23869</v>
      </c>
      <c r="AB139">
        <v>0</v>
      </c>
      <c r="AC139">
        <v>0</v>
      </c>
      <c r="AD139">
        <v>0</v>
      </c>
      <c r="AF139">
        <v>7176915</v>
      </c>
      <c r="AG139">
        <v>0</v>
      </c>
      <c r="AH139">
        <v>-3353</v>
      </c>
      <c r="AI139">
        <v>-554771</v>
      </c>
      <c r="AJ139">
        <v>14280</v>
      </c>
      <c r="AK139">
        <v>114508</v>
      </c>
      <c r="AL139">
        <v>8491747</v>
      </c>
      <c r="AM139">
        <v>27106</v>
      </c>
      <c r="AN139">
        <v>2180008</v>
      </c>
      <c r="AO139">
        <v>0</v>
      </c>
      <c r="AP139">
        <v>285110</v>
      </c>
      <c r="AQ139">
        <v>0</v>
      </c>
      <c r="AR139">
        <v>0</v>
      </c>
      <c r="AS139">
        <v>-126429</v>
      </c>
      <c r="AT139">
        <v>114593</v>
      </c>
      <c r="AU139">
        <v>36701305</v>
      </c>
      <c r="AV139">
        <v>6681094</v>
      </c>
      <c r="AW139">
        <v>-53777</v>
      </c>
      <c r="AX139">
        <v>21101</v>
      </c>
      <c r="AY139">
        <v>-42529</v>
      </c>
      <c r="BA139">
        <v>88474</v>
      </c>
      <c r="BB139">
        <v>-268687</v>
      </c>
      <c r="BC139">
        <v>-12089</v>
      </c>
      <c r="BD139">
        <v>0</v>
      </c>
      <c r="BE139">
        <v>156232</v>
      </c>
      <c r="BF139">
        <v>-869690</v>
      </c>
      <c r="BG139">
        <v>0</v>
      </c>
      <c r="BH139">
        <v>1116149</v>
      </c>
      <c r="BI139">
        <v>210720</v>
      </c>
      <c r="BJ139">
        <v>0</v>
      </c>
      <c r="BK139">
        <v>0</v>
      </c>
      <c r="BL139">
        <v>5255167</v>
      </c>
      <c r="BM139">
        <v>712204</v>
      </c>
      <c r="BN139">
        <v>-220867</v>
      </c>
      <c r="BO139">
        <v>7552511</v>
      </c>
      <c r="BP139">
        <v>13609390</v>
      </c>
      <c r="BQ139">
        <v>-102354</v>
      </c>
      <c r="BR139">
        <v>-2513088</v>
      </c>
      <c r="BS139" s="180">
        <v>0</v>
      </c>
      <c r="BT139" s="180">
        <v>3129553</v>
      </c>
      <c r="BU139" s="180">
        <v>-56989</v>
      </c>
      <c r="BV139" s="180">
        <v>-22292</v>
      </c>
      <c r="BW139" s="180">
        <v>213205</v>
      </c>
      <c r="BX139" s="180">
        <v>0</v>
      </c>
      <c r="BY139" s="180">
        <v>4742468</v>
      </c>
      <c r="BZ139" s="180">
        <v>54569</v>
      </c>
      <c r="CA139" s="180">
        <v>0</v>
      </c>
      <c r="CB139" s="180">
        <v>128753</v>
      </c>
      <c r="CC139" s="180">
        <v>0</v>
      </c>
      <c r="CD139" s="180">
        <v>0</v>
      </c>
      <c r="CE139" s="180"/>
      <c r="CF139" s="180"/>
      <c r="CG139" s="180"/>
      <c r="CH139" s="180"/>
      <c r="CI139" s="180"/>
      <c r="CJ139" s="180"/>
      <c r="CK139" s="180"/>
      <c r="CL139" s="180"/>
      <c r="CM139" s="180"/>
      <c r="CN139" s="180"/>
      <c r="CO139" s="180"/>
      <c r="CP139" s="180"/>
      <c r="CQ139" s="180"/>
      <c r="CR139" s="180"/>
      <c r="CS139" s="180"/>
      <c r="CT139" s="180"/>
      <c r="CU139" s="180"/>
    </row>
    <row r="140" spans="1:99" x14ac:dyDescent="0.3">
      <c r="A140">
        <v>542</v>
      </c>
      <c r="B140" t="s">
        <v>889</v>
      </c>
      <c r="E140">
        <v>0</v>
      </c>
      <c r="F140">
        <v>0</v>
      </c>
      <c r="G140">
        <v>0</v>
      </c>
      <c r="H140">
        <v>0</v>
      </c>
      <c r="I140">
        <v>0</v>
      </c>
      <c r="J140">
        <v>0</v>
      </c>
      <c r="K140">
        <v>0</v>
      </c>
      <c r="L140">
        <v>0</v>
      </c>
      <c r="M140">
        <v>0</v>
      </c>
      <c r="N140">
        <v>0</v>
      </c>
      <c r="O140">
        <v>0</v>
      </c>
      <c r="P140">
        <v>0</v>
      </c>
      <c r="Q140">
        <v>0</v>
      </c>
      <c r="R140">
        <v>0</v>
      </c>
      <c r="S140">
        <v>0</v>
      </c>
      <c r="T140">
        <v>0</v>
      </c>
      <c r="U140">
        <v>0</v>
      </c>
      <c r="V140">
        <v>838506</v>
      </c>
      <c r="W140">
        <v>0</v>
      </c>
      <c r="X140">
        <v>0</v>
      </c>
      <c r="Y140">
        <v>0</v>
      </c>
      <c r="Z140">
        <v>5829763</v>
      </c>
      <c r="AA140">
        <v>0</v>
      </c>
      <c r="AB140">
        <v>0</v>
      </c>
      <c r="AC140">
        <v>0</v>
      </c>
      <c r="AD140">
        <v>0</v>
      </c>
      <c r="AF140">
        <v>0</v>
      </c>
      <c r="AG140">
        <v>0</v>
      </c>
      <c r="AH140">
        <v>0</v>
      </c>
      <c r="AI140">
        <v>0</v>
      </c>
      <c r="AJ140">
        <v>0</v>
      </c>
      <c r="AK140">
        <v>0</v>
      </c>
      <c r="AL140">
        <v>0</v>
      </c>
      <c r="AM140">
        <v>0</v>
      </c>
      <c r="AN140">
        <v>0</v>
      </c>
      <c r="AO140">
        <v>0</v>
      </c>
      <c r="AP140">
        <v>0</v>
      </c>
      <c r="AQ140">
        <v>0</v>
      </c>
      <c r="AR140">
        <v>0</v>
      </c>
      <c r="AS140">
        <v>0</v>
      </c>
      <c r="AT140">
        <v>0</v>
      </c>
      <c r="AU140">
        <v>15014634</v>
      </c>
      <c r="AV140">
        <v>0</v>
      </c>
      <c r="AW140">
        <v>0</v>
      </c>
      <c r="AX140">
        <v>25000</v>
      </c>
      <c r="AY140">
        <v>0</v>
      </c>
      <c r="BA140">
        <v>0</v>
      </c>
      <c r="BB140">
        <v>0</v>
      </c>
      <c r="BC140">
        <v>0</v>
      </c>
      <c r="BD140">
        <v>0</v>
      </c>
      <c r="BE140">
        <v>0</v>
      </c>
      <c r="BF140">
        <v>0</v>
      </c>
      <c r="BG140">
        <v>0</v>
      </c>
      <c r="BH140">
        <v>0</v>
      </c>
      <c r="BI140">
        <v>0</v>
      </c>
      <c r="BJ140">
        <v>0</v>
      </c>
      <c r="BK140">
        <v>0</v>
      </c>
      <c r="BL140">
        <v>910900</v>
      </c>
      <c r="BM140">
        <v>388438</v>
      </c>
      <c r="BN140">
        <v>0</v>
      </c>
      <c r="BO140">
        <v>0</v>
      </c>
      <c r="BP140">
        <v>1339631</v>
      </c>
      <c r="BQ140">
        <v>0</v>
      </c>
      <c r="BR140">
        <v>0</v>
      </c>
      <c r="BS140" s="180">
        <v>0</v>
      </c>
      <c r="BT140" s="180">
        <v>0</v>
      </c>
      <c r="BU140" s="180">
        <v>0</v>
      </c>
      <c r="BV140" s="180">
        <v>22333</v>
      </c>
      <c r="BW140" s="180">
        <v>0</v>
      </c>
      <c r="BX140" s="180">
        <v>0</v>
      </c>
      <c r="BY140" s="180">
        <v>0</v>
      </c>
      <c r="BZ140" s="180">
        <v>0</v>
      </c>
      <c r="CA140" s="180">
        <v>0</v>
      </c>
      <c r="CB140" s="180">
        <v>0</v>
      </c>
      <c r="CC140" s="180">
        <v>0</v>
      </c>
      <c r="CD140" s="180">
        <v>0</v>
      </c>
      <c r="CE140" s="180"/>
      <c r="CF140" s="180"/>
      <c r="CG140" s="180"/>
      <c r="CH140" s="180"/>
      <c r="CI140" s="180"/>
      <c r="CJ140" s="180"/>
      <c r="CK140" s="180"/>
      <c r="CL140" s="180"/>
      <c r="CM140" s="180"/>
      <c r="CN140" s="180"/>
      <c r="CO140" s="180"/>
      <c r="CP140" s="180"/>
      <c r="CQ140" s="180"/>
      <c r="CR140" s="180"/>
      <c r="CS140" s="180"/>
      <c r="CT140" s="180"/>
      <c r="CU140" s="180"/>
    </row>
    <row r="141" spans="1:99" x14ac:dyDescent="0.3">
      <c r="A141">
        <v>544</v>
      </c>
      <c r="B141" t="s">
        <v>52</v>
      </c>
      <c r="E141">
        <v>0</v>
      </c>
      <c r="F141">
        <v>0</v>
      </c>
      <c r="G141">
        <v>0</v>
      </c>
      <c r="H141">
        <v>0</v>
      </c>
      <c r="I141">
        <v>0</v>
      </c>
      <c r="J141">
        <v>0.02</v>
      </c>
      <c r="K141">
        <v>0</v>
      </c>
      <c r="L141">
        <v>0</v>
      </c>
      <c r="M141">
        <v>0</v>
      </c>
      <c r="N141">
        <v>0</v>
      </c>
      <c r="O141">
        <v>0</v>
      </c>
      <c r="P141">
        <v>0</v>
      </c>
      <c r="Q141">
        <v>0.31</v>
      </c>
      <c r="R141">
        <v>0</v>
      </c>
      <c r="S141">
        <v>0</v>
      </c>
      <c r="T141">
        <v>0</v>
      </c>
      <c r="U141">
        <v>0</v>
      </c>
      <c r="V141">
        <v>0.03</v>
      </c>
      <c r="W141">
        <v>0</v>
      </c>
      <c r="X141">
        <v>0</v>
      </c>
      <c r="Y141">
        <v>0</v>
      </c>
      <c r="Z141">
        <v>0.03</v>
      </c>
      <c r="AA141">
        <v>0</v>
      </c>
      <c r="AB141">
        <v>0</v>
      </c>
      <c r="AC141">
        <v>0.04</v>
      </c>
      <c r="AD141">
        <v>0</v>
      </c>
      <c r="AF141">
        <v>0</v>
      </c>
      <c r="AG141">
        <v>0</v>
      </c>
      <c r="AH141">
        <v>0</v>
      </c>
      <c r="AI141">
        <v>0</v>
      </c>
      <c r="AJ141">
        <v>0</v>
      </c>
      <c r="AK141">
        <v>0</v>
      </c>
      <c r="AL141">
        <v>0</v>
      </c>
      <c r="AM141">
        <v>0</v>
      </c>
      <c r="AN141">
        <v>0</v>
      </c>
      <c r="AO141">
        <v>0</v>
      </c>
      <c r="AP141">
        <v>0</v>
      </c>
      <c r="AQ141">
        <v>0</v>
      </c>
      <c r="AR141">
        <v>0</v>
      </c>
      <c r="AS141">
        <v>0</v>
      </c>
      <c r="AT141">
        <v>0</v>
      </c>
      <c r="AU141">
        <v>8.6900000000000005E-2</v>
      </c>
      <c r="AV141">
        <v>0</v>
      </c>
      <c r="AW141">
        <v>0</v>
      </c>
      <c r="AX141">
        <v>0</v>
      </c>
      <c r="AY141">
        <v>0.01</v>
      </c>
      <c r="BA141">
        <v>0.13</v>
      </c>
      <c r="BB141">
        <v>0</v>
      </c>
      <c r="BC141">
        <v>0</v>
      </c>
      <c r="BD141">
        <v>0</v>
      </c>
      <c r="BE141">
        <v>0</v>
      </c>
      <c r="BF141">
        <v>0.08</v>
      </c>
      <c r="BG141">
        <v>0</v>
      </c>
      <c r="BH141">
        <v>0</v>
      </c>
      <c r="BI141">
        <v>0</v>
      </c>
      <c r="BJ141">
        <v>0</v>
      </c>
      <c r="BK141">
        <v>0</v>
      </c>
      <c r="BL141">
        <v>0</v>
      </c>
      <c r="BM141">
        <v>0</v>
      </c>
      <c r="BN141">
        <v>9.5000000000000001E-2</v>
      </c>
      <c r="BO141">
        <v>0</v>
      </c>
      <c r="BP141">
        <v>0</v>
      </c>
      <c r="BQ141">
        <v>0</v>
      </c>
      <c r="BR141">
        <v>0</v>
      </c>
      <c r="BS141" s="180">
        <v>0</v>
      </c>
      <c r="BT141" s="180">
        <v>0</v>
      </c>
      <c r="BU141" s="180">
        <v>0</v>
      </c>
      <c r="BV141" s="180">
        <v>0.2</v>
      </c>
      <c r="BW141" s="180">
        <v>0</v>
      </c>
      <c r="BX141" s="180">
        <v>0</v>
      </c>
      <c r="BY141" s="180">
        <v>0</v>
      </c>
      <c r="BZ141" s="180">
        <v>0</v>
      </c>
      <c r="CA141" s="180">
        <v>0</v>
      </c>
      <c r="CB141" s="180">
        <v>0</v>
      </c>
      <c r="CC141" s="180">
        <v>0</v>
      </c>
      <c r="CD141" s="180">
        <v>0</v>
      </c>
      <c r="CE141" s="180"/>
      <c r="CF141" s="180"/>
      <c r="CG141" s="180"/>
      <c r="CH141" s="180"/>
      <c r="CI141" s="180"/>
      <c r="CJ141" s="180"/>
      <c r="CK141" s="180"/>
      <c r="CL141" s="180"/>
      <c r="CM141" s="180"/>
      <c r="CN141" s="180"/>
      <c r="CO141" s="180"/>
      <c r="CP141" s="180"/>
      <c r="CQ141" s="180"/>
      <c r="CR141" s="180"/>
      <c r="CS141" s="180"/>
      <c r="CT141" s="180"/>
      <c r="CU141" s="180"/>
    </row>
    <row r="142" spans="1:99" s="564" customFormat="1" x14ac:dyDescent="0.3">
      <c r="A142">
        <v>545</v>
      </c>
      <c r="B142" t="s">
        <v>53</v>
      </c>
      <c r="C142"/>
      <c r="D142"/>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0.03</v>
      </c>
      <c r="AA142">
        <v>0</v>
      </c>
      <c r="AB142">
        <v>0</v>
      </c>
      <c r="AC142">
        <v>0</v>
      </c>
      <c r="AD142">
        <v>0</v>
      </c>
      <c r="AE142"/>
      <c r="AF142">
        <v>0</v>
      </c>
      <c r="AG142">
        <v>0</v>
      </c>
      <c r="AH142">
        <v>0</v>
      </c>
      <c r="AI142">
        <v>0</v>
      </c>
      <c r="AJ142">
        <v>0</v>
      </c>
      <c r="AK142">
        <v>0</v>
      </c>
      <c r="AL142">
        <v>0.05</v>
      </c>
      <c r="AM142">
        <v>0</v>
      </c>
      <c r="AN142">
        <v>0</v>
      </c>
      <c r="AO142">
        <v>0</v>
      </c>
      <c r="AP142">
        <v>0</v>
      </c>
      <c r="AQ142">
        <v>0.41749999999999998</v>
      </c>
      <c r="AR142">
        <v>0</v>
      </c>
      <c r="AS142">
        <v>0</v>
      </c>
      <c r="AT142">
        <v>0</v>
      </c>
      <c r="AU142">
        <v>0.04</v>
      </c>
      <c r="AV142">
        <v>0</v>
      </c>
      <c r="AW142">
        <v>0</v>
      </c>
      <c r="AX142">
        <v>0</v>
      </c>
      <c r="AY142">
        <v>0.02</v>
      </c>
      <c r="AZ142"/>
      <c r="BA142">
        <v>0</v>
      </c>
      <c r="BB142">
        <v>0</v>
      </c>
      <c r="BC142">
        <v>0</v>
      </c>
      <c r="BD142">
        <v>0</v>
      </c>
      <c r="BE142">
        <v>0</v>
      </c>
      <c r="BF142">
        <v>0</v>
      </c>
      <c r="BG142">
        <v>0</v>
      </c>
      <c r="BH142">
        <v>0</v>
      </c>
      <c r="BI142">
        <v>0</v>
      </c>
      <c r="BJ142">
        <v>0</v>
      </c>
      <c r="BK142">
        <v>0</v>
      </c>
      <c r="BL142">
        <v>0.75</v>
      </c>
      <c r="BM142">
        <v>0</v>
      </c>
      <c r="BN142">
        <v>0</v>
      </c>
      <c r="BO142">
        <v>0</v>
      </c>
      <c r="BP142">
        <v>0</v>
      </c>
      <c r="BQ142">
        <v>0</v>
      </c>
      <c r="BR142">
        <v>0</v>
      </c>
      <c r="BS142" s="564">
        <v>0</v>
      </c>
      <c r="BT142" s="564">
        <v>0</v>
      </c>
      <c r="BU142" s="564">
        <v>0</v>
      </c>
      <c r="BV142" s="564">
        <v>0</v>
      </c>
      <c r="BW142" s="564">
        <v>0</v>
      </c>
      <c r="BX142" s="564">
        <v>0</v>
      </c>
      <c r="BY142" s="564">
        <v>0</v>
      </c>
      <c r="BZ142" s="564">
        <v>0</v>
      </c>
      <c r="CA142" s="564">
        <v>0</v>
      </c>
      <c r="CB142" s="564">
        <v>0</v>
      </c>
      <c r="CC142" s="564">
        <v>0</v>
      </c>
      <c r="CD142" s="564">
        <v>0</v>
      </c>
    </row>
    <row r="143" spans="1:99" x14ac:dyDescent="0.3">
      <c r="A143">
        <v>547</v>
      </c>
      <c r="B143" t="s">
        <v>890</v>
      </c>
      <c r="E143">
        <v>3</v>
      </c>
      <c r="F143">
        <v>2</v>
      </c>
      <c r="G143">
        <v>1</v>
      </c>
      <c r="H143">
        <v>2</v>
      </c>
      <c r="I143">
        <v>2</v>
      </c>
      <c r="J143">
        <v>2</v>
      </c>
      <c r="K143">
        <v>2</v>
      </c>
      <c r="L143">
        <v>3</v>
      </c>
      <c r="M143">
        <v>3</v>
      </c>
      <c r="N143">
        <v>2</v>
      </c>
      <c r="O143">
        <v>1</v>
      </c>
      <c r="P143">
        <v>2</v>
      </c>
      <c r="Q143">
        <v>4</v>
      </c>
      <c r="R143">
        <v>2</v>
      </c>
      <c r="S143">
        <v>2</v>
      </c>
      <c r="T143">
        <v>2</v>
      </c>
      <c r="U143">
        <v>2</v>
      </c>
      <c r="V143">
        <v>3</v>
      </c>
      <c r="W143">
        <v>2</v>
      </c>
      <c r="X143">
        <v>2</v>
      </c>
      <c r="Y143">
        <v>3</v>
      </c>
      <c r="Z143">
        <v>3</v>
      </c>
      <c r="AA143">
        <v>2</v>
      </c>
      <c r="AB143">
        <v>2</v>
      </c>
      <c r="AC143">
        <v>3</v>
      </c>
      <c r="AD143">
        <v>2</v>
      </c>
      <c r="AF143">
        <v>3</v>
      </c>
      <c r="AG143">
        <v>0</v>
      </c>
      <c r="AH143">
        <v>2</v>
      </c>
      <c r="AI143">
        <v>3</v>
      </c>
      <c r="AJ143">
        <v>2</v>
      </c>
      <c r="AK143">
        <v>2</v>
      </c>
      <c r="AL143">
        <v>1</v>
      </c>
      <c r="AM143">
        <v>2</v>
      </c>
      <c r="AN143">
        <v>3</v>
      </c>
      <c r="AO143">
        <v>2</v>
      </c>
      <c r="AP143">
        <v>3</v>
      </c>
      <c r="AQ143">
        <v>2</v>
      </c>
      <c r="AR143">
        <v>2</v>
      </c>
      <c r="AS143">
        <v>2</v>
      </c>
      <c r="AT143">
        <v>2</v>
      </c>
      <c r="AU143">
        <v>3</v>
      </c>
      <c r="AV143">
        <v>3</v>
      </c>
      <c r="AW143">
        <v>2</v>
      </c>
      <c r="AX143">
        <v>2</v>
      </c>
      <c r="AY143">
        <v>2</v>
      </c>
      <c r="BA143">
        <v>2</v>
      </c>
      <c r="BB143">
        <v>3</v>
      </c>
      <c r="BC143">
        <v>2</v>
      </c>
      <c r="BD143">
        <v>2</v>
      </c>
      <c r="BE143">
        <v>2</v>
      </c>
      <c r="BF143">
        <v>2</v>
      </c>
      <c r="BG143">
        <v>2</v>
      </c>
      <c r="BH143">
        <v>1</v>
      </c>
      <c r="BI143">
        <v>3</v>
      </c>
      <c r="BJ143">
        <v>2</v>
      </c>
      <c r="BK143">
        <v>0</v>
      </c>
      <c r="BL143">
        <v>3</v>
      </c>
      <c r="BM143">
        <v>3</v>
      </c>
      <c r="BN143">
        <v>2</v>
      </c>
      <c r="BO143">
        <v>3</v>
      </c>
      <c r="BP143">
        <v>3</v>
      </c>
      <c r="BQ143">
        <v>2</v>
      </c>
      <c r="BR143">
        <v>2</v>
      </c>
      <c r="BS143" s="180">
        <v>2</v>
      </c>
      <c r="BT143" s="180">
        <v>3</v>
      </c>
      <c r="BU143" s="180">
        <v>2</v>
      </c>
      <c r="BV143" s="180">
        <v>2</v>
      </c>
      <c r="BW143" s="180">
        <v>2</v>
      </c>
      <c r="BX143" s="180">
        <v>1</v>
      </c>
      <c r="BY143" s="180">
        <v>3</v>
      </c>
      <c r="BZ143" s="180">
        <v>2</v>
      </c>
      <c r="CA143" s="180">
        <v>3</v>
      </c>
      <c r="CB143" s="180">
        <v>2</v>
      </c>
      <c r="CC143" s="180">
        <v>2</v>
      </c>
      <c r="CD143" s="180">
        <v>3</v>
      </c>
      <c r="CE143" s="180"/>
      <c r="CF143" s="180"/>
      <c r="CG143" s="180"/>
      <c r="CH143" s="180"/>
      <c r="CI143" s="180"/>
      <c r="CJ143" s="180"/>
      <c r="CK143" s="180"/>
      <c r="CL143" s="180"/>
      <c r="CM143" s="180"/>
      <c r="CN143" s="180"/>
      <c r="CO143" s="180"/>
      <c r="CP143" s="180"/>
      <c r="CQ143" s="180"/>
      <c r="CR143" s="180"/>
      <c r="CS143" s="180"/>
      <c r="CT143" s="180"/>
      <c r="CU143" s="180"/>
    </row>
    <row r="144" spans="1:99" s="551" customFormat="1" x14ac:dyDescent="0.3">
      <c r="A144">
        <v>554</v>
      </c>
      <c r="B144" t="s">
        <v>318</v>
      </c>
      <c r="C144"/>
      <c r="D144"/>
      <c r="E144">
        <v>981274</v>
      </c>
      <c r="F144"/>
      <c r="G144"/>
      <c r="H144"/>
      <c r="I144"/>
      <c r="J144"/>
      <c r="K144"/>
      <c r="L144">
        <v>2054273</v>
      </c>
      <c r="M144">
        <v>41395713</v>
      </c>
      <c r="N144"/>
      <c r="O144">
        <v>2667179</v>
      </c>
      <c r="P144"/>
      <c r="Q144">
        <v>2282511</v>
      </c>
      <c r="R144"/>
      <c r="S144"/>
      <c r="T144">
        <v>907956</v>
      </c>
      <c r="U144"/>
      <c r="V144"/>
      <c r="W144"/>
      <c r="X144"/>
      <c r="Y144"/>
      <c r="Z144">
        <v>10110039</v>
      </c>
      <c r="AA144"/>
      <c r="AB144"/>
      <c r="AC144">
        <v>10253278</v>
      </c>
      <c r="AD144"/>
      <c r="AE144"/>
      <c r="AF144">
        <v>16060409</v>
      </c>
      <c r="AG144"/>
      <c r="AH144"/>
      <c r="AI144">
        <v>1194401</v>
      </c>
      <c r="AJ144"/>
      <c r="AK144">
        <v>979563</v>
      </c>
      <c r="AL144">
        <v>4955698</v>
      </c>
      <c r="AM144">
        <v>1335864</v>
      </c>
      <c r="AN144">
        <v>10464318</v>
      </c>
      <c r="AO144"/>
      <c r="AP144">
        <v>742406</v>
      </c>
      <c r="AQ144"/>
      <c r="AR144"/>
      <c r="AS144"/>
      <c r="AT144"/>
      <c r="AU144">
        <v>98771269</v>
      </c>
      <c r="AV144">
        <v>5527207</v>
      </c>
      <c r="AW144">
        <v>865571</v>
      </c>
      <c r="AX144"/>
      <c r="AY144"/>
      <c r="AZ144"/>
      <c r="BA144"/>
      <c r="BB144"/>
      <c r="BC144"/>
      <c r="BD144"/>
      <c r="BE144"/>
      <c r="BF144">
        <v>110878</v>
      </c>
      <c r="BG144"/>
      <c r="BH144">
        <v>1790867</v>
      </c>
      <c r="BI144"/>
      <c r="BJ144"/>
      <c r="BK144"/>
      <c r="BL144">
        <v>2273275</v>
      </c>
      <c r="BM144">
        <v>28249461</v>
      </c>
      <c r="BN144">
        <v>1264630</v>
      </c>
      <c r="BO144">
        <v>31061932</v>
      </c>
      <c r="BP144">
        <v>17043003</v>
      </c>
      <c r="BQ144">
        <v>2131602</v>
      </c>
      <c r="BR144"/>
      <c r="BW144" s="551">
        <v>211616</v>
      </c>
      <c r="BX144" s="551">
        <v>0</v>
      </c>
      <c r="BY144" s="551">
        <v>6194780</v>
      </c>
      <c r="BZ144" s="551">
        <v>1252127</v>
      </c>
      <c r="CD144" s="551">
        <v>9439537</v>
      </c>
    </row>
    <row r="145" spans="1:99" s="551" customFormat="1" x14ac:dyDescent="0.3">
      <c r="A145">
        <v>555</v>
      </c>
      <c r="B145" t="s">
        <v>319</v>
      </c>
      <c r="C145"/>
      <c r="D145"/>
      <c r="E145">
        <v>760244</v>
      </c>
      <c r="F145"/>
      <c r="G145"/>
      <c r="H145"/>
      <c r="I145"/>
      <c r="J145"/>
      <c r="K145"/>
      <c r="L145">
        <v>1518275</v>
      </c>
      <c r="M145">
        <v>25409472</v>
      </c>
      <c r="N145"/>
      <c r="O145">
        <v>2667179</v>
      </c>
      <c r="P145"/>
      <c r="Q145">
        <v>2282511</v>
      </c>
      <c r="R145"/>
      <c r="S145"/>
      <c r="T145">
        <v>532558</v>
      </c>
      <c r="U145"/>
      <c r="V145"/>
      <c r="W145"/>
      <c r="X145"/>
      <c r="Y145"/>
      <c r="Z145">
        <v>9606334</v>
      </c>
      <c r="AA145"/>
      <c r="AB145"/>
      <c r="AC145">
        <v>10000000</v>
      </c>
      <c r="AD145"/>
      <c r="AE145"/>
      <c r="AF145">
        <v>12277012</v>
      </c>
      <c r="AG145"/>
      <c r="AH145"/>
      <c r="AI145">
        <v>1169460</v>
      </c>
      <c r="AJ145"/>
      <c r="AK145">
        <v>979563</v>
      </c>
      <c r="AL145">
        <v>4506701</v>
      </c>
      <c r="AM145">
        <v>1335864</v>
      </c>
      <c r="AN145">
        <v>10043601</v>
      </c>
      <c r="AO145"/>
      <c r="AP145">
        <v>0</v>
      </c>
      <c r="AQ145"/>
      <c r="AR145"/>
      <c r="AS145"/>
      <c r="AT145"/>
      <c r="AU145">
        <v>68848414</v>
      </c>
      <c r="AV145">
        <v>3229110</v>
      </c>
      <c r="AW145">
        <v>673502</v>
      </c>
      <c r="AX145"/>
      <c r="AY145"/>
      <c r="AZ145"/>
      <c r="BA145"/>
      <c r="BB145"/>
      <c r="BC145"/>
      <c r="BD145"/>
      <c r="BE145"/>
      <c r="BF145">
        <v>0</v>
      </c>
      <c r="BG145"/>
      <c r="BH145">
        <v>852821</v>
      </c>
      <c r="BI145"/>
      <c r="BJ145"/>
      <c r="BK145"/>
      <c r="BL145">
        <v>2103448</v>
      </c>
      <c r="BM145">
        <v>16504746</v>
      </c>
      <c r="BN145">
        <v>1264630</v>
      </c>
      <c r="BO145">
        <v>22863812</v>
      </c>
      <c r="BP145">
        <v>15273991</v>
      </c>
      <c r="BQ145">
        <v>2071602</v>
      </c>
      <c r="BR145"/>
      <c r="BW145" s="551">
        <v>0</v>
      </c>
      <c r="BX145" s="551">
        <v>0</v>
      </c>
      <c r="BY145" s="551">
        <v>5848617</v>
      </c>
      <c r="BZ145" s="551">
        <v>1190300</v>
      </c>
      <c r="CD145" s="551">
        <v>5143158</v>
      </c>
    </row>
    <row r="146" spans="1:99" s="551" customFormat="1" x14ac:dyDescent="0.3">
      <c r="A146">
        <v>556</v>
      </c>
      <c r="B146" t="s">
        <v>320</v>
      </c>
      <c r="C146"/>
      <c r="D146"/>
      <c r="E146">
        <v>64798</v>
      </c>
      <c r="F146"/>
      <c r="G146"/>
      <c r="H146"/>
      <c r="I146"/>
      <c r="J146"/>
      <c r="K146"/>
      <c r="L146">
        <v>217417</v>
      </c>
      <c r="M146">
        <v>16332689</v>
      </c>
      <c r="N146"/>
      <c r="O146">
        <v>145500</v>
      </c>
      <c r="P146"/>
      <c r="Q146">
        <v>206266</v>
      </c>
      <c r="R146"/>
      <c r="S146"/>
      <c r="T146">
        <v>184422</v>
      </c>
      <c r="U146"/>
      <c r="V146"/>
      <c r="W146"/>
      <c r="X146"/>
      <c r="Y146"/>
      <c r="Z146">
        <v>1878402</v>
      </c>
      <c r="AA146"/>
      <c r="AB146"/>
      <c r="AC146">
        <v>276477</v>
      </c>
      <c r="AD146"/>
      <c r="AE146"/>
      <c r="AF146">
        <v>3265673</v>
      </c>
      <c r="AG146"/>
      <c r="AH146"/>
      <c r="AI146">
        <v>441114</v>
      </c>
      <c r="AJ146"/>
      <c r="AK146">
        <v>0</v>
      </c>
      <c r="AL146">
        <v>1463244</v>
      </c>
      <c r="AM146">
        <v>20211</v>
      </c>
      <c r="AN146">
        <v>837524</v>
      </c>
      <c r="AO146"/>
      <c r="AP146">
        <v>811962</v>
      </c>
      <c r="AQ146"/>
      <c r="AR146"/>
      <c r="AS146"/>
      <c r="AT146"/>
      <c r="AU146">
        <v>10927501</v>
      </c>
      <c r="AV146">
        <v>1957691</v>
      </c>
      <c r="AW146">
        <v>14051</v>
      </c>
      <c r="AX146"/>
      <c r="AY146"/>
      <c r="AZ146"/>
      <c r="BA146"/>
      <c r="BB146"/>
      <c r="BC146"/>
      <c r="BD146"/>
      <c r="BE146"/>
      <c r="BF146">
        <v>555000</v>
      </c>
      <c r="BG146"/>
      <c r="BH146">
        <v>1896149</v>
      </c>
      <c r="BI146"/>
      <c r="BJ146"/>
      <c r="BK146"/>
      <c r="BL146">
        <v>542428</v>
      </c>
      <c r="BM146">
        <v>609846</v>
      </c>
      <c r="BN146">
        <v>176230</v>
      </c>
      <c r="BO146">
        <v>3610795</v>
      </c>
      <c r="BP146">
        <v>6426436</v>
      </c>
      <c r="BQ146">
        <v>18020</v>
      </c>
      <c r="BR146"/>
      <c r="BW146" s="551">
        <v>1486262</v>
      </c>
      <c r="BX146" s="551">
        <v>1750733</v>
      </c>
      <c r="BY146" s="551">
        <v>493274</v>
      </c>
      <c r="BZ146" s="551">
        <v>123422</v>
      </c>
      <c r="CD146" s="551">
        <v>2721783</v>
      </c>
    </row>
    <row r="147" spans="1:99" s="551" customFormat="1" x14ac:dyDescent="0.3">
      <c r="A147">
        <v>557</v>
      </c>
      <c r="B147" t="s">
        <v>321</v>
      </c>
      <c r="C147"/>
      <c r="D147"/>
      <c r="E147">
        <v>0</v>
      </c>
      <c r="F147"/>
      <c r="G147"/>
      <c r="H147"/>
      <c r="I147"/>
      <c r="J147"/>
      <c r="K147"/>
      <c r="L147">
        <v>0</v>
      </c>
      <c r="M147">
        <v>7577621</v>
      </c>
      <c r="N147"/>
      <c r="O147">
        <v>0</v>
      </c>
      <c r="P147"/>
      <c r="Q147">
        <v>0</v>
      </c>
      <c r="R147"/>
      <c r="S147"/>
      <c r="T147">
        <v>0</v>
      </c>
      <c r="U147"/>
      <c r="V147"/>
      <c r="W147"/>
      <c r="X147"/>
      <c r="Y147"/>
      <c r="Z147">
        <v>1878402</v>
      </c>
      <c r="AA147"/>
      <c r="AB147"/>
      <c r="AC147">
        <v>0</v>
      </c>
      <c r="AD147"/>
      <c r="AE147"/>
      <c r="AF147">
        <v>1361840</v>
      </c>
      <c r="AG147"/>
      <c r="AH147"/>
      <c r="AI147">
        <v>0</v>
      </c>
      <c r="AJ147"/>
      <c r="AK147">
        <v>0</v>
      </c>
      <c r="AL147">
        <v>1009100</v>
      </c>
      <c r="AM147">
        <v>0</v>
      </c>
      <c r="AN147">
        <v>487524</v>
      </c>
      <c r="AO147"/>
      <c r="AP147">
        <v>383150</v>
      </c>
      <c r="AQ147"/>
      <c r="AR147"/>
      <c r="AS147"/>
      <c r="AT147"/>
      <c r="AU147">
        <v>9400685</v>
      </c>
      <c r="AV147">
        <v>1344994</v>
      </c>
      <c r="AW147">
        <v>0</v>
      </c>
      <c r="AX147"/>
      <c r="AY147"/>
      <c r="AZ147"/>
      <c r="BA147"/>
      <c r="BB147"/>
      <c r="BC147"/>
      <c r="BD147"/>
      <c r="BE147"/>
      <c r="BF147">
        <v>555000</v>
      </c>
      <c r="BG147"/>
      <c r="BH147">
        <v>935178</v>
      </c>
      <c r="BI147"/>
      <c r="BJ147"/>
      <c r="BK147"/>
      <c r="BL147">
        <v>447091</v>
      </c>
      <c r="BM147">
        <v>459284</v>
      </c>
      <c r="BN147">
        <v>0</v>
      </c>
      <c r="BO147">
        <v>1891070</v>
      </c>
      <c r="BP147">
        <v>2200000</v>
      </c>
      <c r="BQ147">
        <v>0</v>
      </c>
      <c r="BR147"/>
      <c r="BW147" s="551">
        <v>1137500</v>
      </c>
      <c r="BX147" s="551">
        <v>1392866</v>
      </c>
      <c r="BY147" s="551">
        <v>0</v>
      </c>
      <c r="BZ147" s="551">
        <v>0</v>
      </c>
      <c r="CD147" s="551">
        <v>2664014</v>
      </c>
    </row>
    <row r="148" spans="1:99" x14ac:dyDescent="0.3">
      <c r="A148">
        <v>575</v>
      </c>
      <c r="B148" t="s">
        <v>300</v>
      </c>
      <c r="E148">
        <v>0</v>
      </c>
      <c r="F148">
        <v>0</v>
      </c>
      <c r="G148">
        <v>0</v>
      </c>
      <c r="H148">
        <v>0</v>
      </c>
      <c r="I148">
        <v>0</v>
      </c>
      <c r="J148">
        <v>0</v>
      </c>
      <c r="K148">
        <v>468</v>
      </c>
      <c r="L148">
        <v>0</v>
      </c>
      <c r="M148">
        <v>302463</v>
      </c>
      <c r="N148">
        <v>0</v>
      </c>
      <c r="O148">
        <v>0</v>
      </c>
      <c r="P148">
        <v>17268</v>
      </c>
      <c r="Q148">
        <v>0</v>
      </c>
      <c r="R148">
        <v>0</v>
      </c>
      <c r="S148">
        <v>0</v>
      </c>
      <c r="T148">
        <v>0</v>
      </c>
      <c r="U148">
        <v>0</v>
      </c>
      <c r="V148">
        <v>0</v>
      </c>
      <c r="W148">
        <v>0</v>
      </c>
      <c r="X148">
        <v>29965</v>
      </c>
      <c r="Y148">
        <v>0</v>
      </c>
      <c r="Z148">
        <v>0</v>
      </c>
      <c r="AA148">
        <v>0</v>
      </c>
      <c r="AB148">
        <v>0</v>
      </c>
      <c r="AC148">
        <v>0</v>
      </c>
      <c r="AD148">
        <v>0</v>
      </c>
      <c r="AF148">
        <v>0</v>
      </c>
      <c r="AG148">
        <v>0</v>
      </c>
      <c r="AH148">
        <v>0</v>
      </c>
      <c r="AI148">
        <v>0</v>
      </c>
      <c r="AJ148">
        <v>0</v>
      </c>
      <c r="AK148">
        <v>579</v>
      </c>
      <c r="AL148">
        <v>0</v>
      </c>
      <c r="AM148">
        <v>0</v>
      </c>
      <c r="AN148">
        <v>0</v>
      </c>
      <c r="AO148">
        <v>0</v>
      </c>
      <c r="AP148">
        <v>0</v>
      </c>
      <c r="AQ148">
        <v>0</v>
      </c>
      <c r="AR148">
        <v>0</v>
      </c>
      <c r="AS148">
        <v>278239</v>
      </c>
      <c r="AT148">
        <v>0</v>
      </c>
      <c r="AU148">
        <v>0</v>
      </c>
      <c r="AV148">
        <v>971702</v>
      </c>
      <c r="AW148">
        <v>0</v>
      </c>
      <c r="AX148">
        <v>40070</v>
      </c>
      <c r="AY148">
        <v>0</v>
      </c>
      <c r="BA148">
        <v>144416</v>
      </c>
      <c r="BB148">
        <v>0</v>
      </c>
      <c r="BC148">
        <v>2209</v>
      </c>
      <c r="BD148">
        <v>0</v>
      </c>
      <c r="BE148">
        <v>4689</v>
      </c>
      <c r="BF148">
        <v>0</v>
      </c>
      <c r="BG148">
        <v>0</v>
      </c>
      <c r="BH148">
        <v>0</v>
      </c>
      <c r="BI148">
        <v>22263</v>
      </c>
      <c r="BJ148">
        <v>0</v>
      </c>
      <c r="BK148">
        <v>0</v>
      </c>
      <c r="BL148">
        <v>0</v>
      </c>
      <c r="BM148">
        <v>675217</v>
      </c>
      <c r="BN148">
        <v>0</v>
      </c>
      <c r="BO148">
        <v>1701632</v>
      </c>
      <c r="BP148">
        <v>0</v>
      </c>
      <c r="BQ148">
        <v>0</v>
      </c>
      <c r="BR148">
        <v>0</v>
      </c>
      <c r="BS148" s="180">
        <v>0</v>
      </c>
      <c r="BT148" s="180">
        <v>0</v>
      </c>
      <c r="BU148" s="180">
        <v>0</v>
      </c>
      <c r="BV148" s="180">
        <v>0</v>
      </c>
      <c r="BW148" s="180">
        <v>0</v>
      </c>
      <c r="BX148" s="180">
        <v>0</v>
      </c>
      <c r="BY148" s="180">
        <v>0</v>
      </c>
      <c r="BZ148" s="180">
        <v>0</v>
      </c>
      <c r="CA148" s="180">
        <v>0</v>
      </c>
      <c r="CB148" s="180">
        <v>0</v>
      </c>
      <c r="CC148" s="180">
        <v>0</v>
      </c>
      <c r="CD148" s="180">
        <v>5752521</v>
      </c>
      <c r="CE148" s="180"/>
      <c r="CF148" s="180"/>
      <c r="CG148" s="180"/>
      <c r="CH148" s="180"/>
      <c r="CI148" s="180"/>
      <c r="CJ148" s="180"/>
      <c r="CK148" s="180"/>
      <c r="CL148" s="180"/>
      <c r="CM148" s="180"/>
      <c r="CN148" s="180"/>
      <c r="CO148" s="180"/>
      <c r="CP148" s="180"/>
      <c r="CQ148" s="180"/>
      <c r="CR148" s="180"/>
      <c r="CS148" s="180"/>
      <c r="CT148" s="180"/>
      <c r="CU148" s="180"/>
    </row>
    <row r="149" spans="1:99" x14ac:dyDescent="0.3">
      <c r="A149">
        <v>576</v>
      </c>
      <c r="B149" t="s">
        <v>301</v>
      </c>
      <c r="E149">
        <v>0</v>
      </c>
      <c r="F149">
        <v>0</v>
      </c>
      <c r="G149">
        <v>40582</v>
      </c>
      <c r="H149">
        <v>110687</v>
      </c>
      <c r="I149">
        <v>0</v>
      </c>
      <c r="J149">
        <v>0</v>
      </c>
      <c r="K149">
        <v>0</v>
      </c>
      <c r="L149">
        <v>98125</v>
      </c>
      <c r="M149">
        <v>0</v>
      </c>
      <c r="N149">
        <v>0</v>
      </c>
      <c r="O149">
        <v>0</v>
      </c>
      <c r="P149">
        <v>0</v>
      </c>
      <c r="Q149">
        <v>5559129</v>
      </c>
      <c r="R149">
        <v>0</v>
      </c>
      <c r="S149">
        <v>0</v>
      </c>
      <c r="T149">
        <v>0</v>
      </c>
      <c r="U149">
        <v>0</v>
      </c>
      <c r="V149">
        <v>0</v>
      </c>
      <c r="W149">
        <v>0</v>
      </c>
      <c r="X149">
        <v>0</v>
      </c>
      <c r="Y149">
        <v>0</v>
      </c>
      <c r="Z149">
        <v>0</v>
      </c>
      <c r="AA149">
        <v>0</v>
      </c>
      <c r="AB149">
        <v>0</v>
      </c>
      <c r="AC149">
        <v>0</v>
      </c>
      <c r="AD149">
        <v>0</v>
      </c>
      <c r="AF149">
        <v>3548544</v>
      </c>
      <c r="AG149">
        <v>0</v>
      </c>
      <c r="AH149">
        <v>0</v>
      </c>
      <c r="AI149">
        <v>0</v>
      </c>
      <c r="AJ149">
        <v>0</v>
      </c>
      <c r="AK149">
        <v>0</v>
      </c>
      <c r="AL149">
        <v>0</v>
      </c>
      <c r="AM149">
        <v>0</v>
      </c>
      <c r="AN149">
        <v>2967</v>
      </c>
      <c r="AO149">
        <v>0</v>
      </c>
      <c r="AP149">
        <v>0</v>
      </c>
      <c r="AQ149">
        <v>0</v>
      </c>
      <c r="AR149">
        <v>0</v>
      </c>
      <c r="AS149">
        <v>0</v>
      </c>
      <c r="AT149">
        <v>158627</v>
      </c>
      <c r="AU149">
        <v>10208577</v>
      </c>
      <c r="AV149">
        <v>0</v>
      </c>
      <c r="AW149">
        <v>4623</v>
      </c>
      <c r="AX149">
        <v>0</v>
      </c>
      <c r="AY149">
        <v>0</v>
      </c>
      <c r="BA149">
        <v>0</v>
      </c>
      <c r="BB149">
        <v>0</v>
      </c>
      <c r="BC149">
        <v>0</v>
      </c>
      <c r="BD149">
        <v>0</v>
      </c>
      <c r="BE149">
        <v>0</v>
      </c>
      <c r="BF149">
        <v>0</v>
      </c>
      <c r="BG149">
        <v>0</v>
      </c>
      <c r="BH149">
        <v>0</v>
      </c>
      <c r="BI149">
        <v>0</v>
      </c>
      <c r="BJ149">
        <v>0</v>
      </c>
      <c r="BK149">
        <v>0</v>
      </c>
      <c r="BL149">
        <v>0</v>
      </c>
      <c r="BM149">
        <v>0</v>
      </c>
      <c r="BN149">
        <v>75977</v>
      </c>
      <c r="BO149">
        <v>0</v>
      </c>
      <c r="BP149">
        <v>21111752</v>
      </c>
      <c r="BQ149">
        <v>0</v>
      </c>
      <c r="BR149">
        <v>0</v>
      </c>
      <c r="BS149" s="180">
        <v>0</v>
      </c>
      <c r="BT149" s="180">
        <v>0</v>
      </c>
      <c r="BU149" s="180">
        <v>0</v>
      </c>
      <c r="BV149" s="180">
        <v>0</v>
      </c>
      <c r="BW149" s="180">
        <v>0</v>
      </c>
      <c r="BX149" s="180">
        <v>0</v>
      </c>
      <c r="BY149" s="180">
        <v>0</v>
      </c>
      <c r="BZ149" s="180">
        <v>184586</v>
      </c>
      <c r="CA149" s="180">
        <v>0</v>
      </c>
      <c r="CB149" s="180">
        <v>39243</v>
      </c>
      <c r="CC149" s="180">
        <v>0</v>
      </c>
      <c r="CD149" s="180">
        <v>0</v>
      </c>
      <c r="CE149" s="180"/>
      <c r="CF149" s="180"/>
      <c r="CG149" s="180"/>
      <c r="CH149" s="180"/>
      <c r="CI149" s="180"/>
      <c r="CJ149" s="180"/>
      <c r="CK149" s="180"/>
      <c r="CL149" s="180"/>
      <c r="CM149" s="180"/>
      <c r="CN149" s="180"/>
      <c r="CO149" s="180"/>
      <c r="CP149" s="180"/>
      <c r="CQ149" s="180"/>
      <c r="CR149" s="180"/>
      <c r="CS149" s="180"/>
      <c r="CT149" s="180"/>
      <c r="CU149" s="180"/>
    </row>
    <row r="150" spans="1:99" s="564" customFormat="1" x14ac:dyDescent="0.3">
      <c r="A150">
        <v>577</v>
      </c>
      <c r="B150" t="s">
        <v>891</v>
      </c>
      <c r="C150"/>
      <c r="D150"/>
      <c r="E150">
        <v>2</v>
      </c>
      <c r="F150">
        <v>2</v>
      </c>
      <c r="G150">
        <v>2</v>
      </c>
      <c r="H150">
        <v>2</v>
      </c>
      <c r="I150">
        <v>2</v>
      </c>
      <c r="J150">
        <v>2</v>
      </c>
      <c r="K150">
        <v>0</v>
      </c>
      <c r="L150">
        <v>2</v>
      </c>
      <c r="M150">
        <v>2</v>
      </c>
      <c r="N150">
        <v>2</v>
      </c>
      <c r="O150">
        <v>2</v>
      </c>
      <c r="P150">
        <v>0</v>
      </c>
      <c r="Q150">
        <v>2</v>
      </c>
      <c r="R150">
        <v>0</v>
      </c>
      <c r="S150">
        <v>2</v>
      </c>
      <c r="T150">
        <v>2</v>
      </c>
      <c r="U150">
        <v>2</v>
      </c>
      <c r="V150">
        <v>1</v>
      </c>
      <c r="W150">
        <v>2</v>
      </c>
      <c r="X150">
        <v>2</v>
      </c>
      <c r="Y150">
        <v>2</v>
      </c>
      <c r="Z150">
        <v>2</v>
      </c>
      <c r="AA150">
        <v>2</v>
      </c>
      <c r="AB150">
        <v>2</v>
      </c>
      <c r="AC150">
        <v>2</v>
      </c>
      <c r="AD150">
        <v>0</v>
      </c>
      <c r="AE150"/>
      <c r="AF150">
        <v>2</v>
      </c>
      <c r="AG150">
        <v>0</v>
      </c>
      <c r="AH150">
        <v>2</v>
      </c>
      <c r="AI150">
        <v>2</v>
      </c>
      <c r="AJ150">
        <v>2</v>
      </c>
      <c r="AK150">
        <v>2</v>
      </c>
      <c r="AL150">
        <v>2</v>
      </c>
      <c r="AM150">
        <v>2</v>
      </c>
      <c r="AN150">
        <v>2</v>
      </c>
      <c r="AO150">
        <v>0</v>
      </c>
      <c r="AP150">
        <v>2</v>
      </c>
      <c r="AQ150">
        <v>1</v>
      </c>
      <c r="AR150">
        <v>2</v>
      </c>
      <c r="AS150">
        <v>2</v>
      </c>
      <c r="AT150">
        <v>2</v>
      </c>
      <c r="AU150">
        <v>2</v>
      </c>
      <c r="AV150">
        <v>2</v>
      </c>
      <c r="AW150">
        <v>2</v>
      </c>
      <c r="AX150">
        <v>2</v>
      </c>
      <c r="AY150">
        <v>2</v>
      </c>
      <c r="AZ150"/>
      <c r="BA150">
        <v>2</v>
      </c>
      <c r="BB150">
        <v>2</v>
      </c>
      <c r="BC150">
        <v>0</v>
      </c>
      <c r="BD150">
        <v>2</v>
      </c>
      <c r="BE150">
        <v>2</v>
      </c>
      <c r="BF150">
        <v>2</v>
      </c>
      <c r="BG150">
        <v>0</v>
      </c>
      <c r="BH150">
        <v>2</v>
      </c>
      <c r="BI150">
        <v>0</v>
      </c>
      <c r="BJ150">
        <v>0</v>
      </c>
      <c r="BK150">
        <v>0</v>
      </c>
      <c r="BL150">
        <v>2</v>
      </c>
      <c r="BM150">
        <v>2</v>
      </c>
      <c r="BN150">
        <v>2</v>
      </c>
      <c r="BO150">
        <v>2</v>
      </c>
      <c r="BP150">
        <v>2</v>
      </c>
      <c r="BQ150">
        <v>2</v>
      </c>
      <c r="BR150">
        <v>2</v>
      </c>
      <c r="BS150" s="564">
        <v>2</v>
      </c>
      <c r="BT150" s="564">
        <v>2</v>
      </c>
      <c r="BU150" s="564">
        <v>2</v>
      </c>
      <c r="BV150" s="564">
        <v>2</v>
      </c>
      <c r="BW150" s="564">
        <v>2</v>
      </c>
      <c r="BX150" s="564">
        <v>2</v>
      </c>
      <c r="BY150" s="564">
        <v>0</v>
      </c>
      <c r="BZ150" s="564">
        <v>2</v>
      </c>
      <c r="CA150" s="564">
        <v>2</v>
      </c>
      <c r="CB150" s="564">
        <v>2</v>
      </c>
      <c r="CC150" s="564">
        <v>2</v>
      </c>
      <c r="CD150" s="564">
        <v>2</v>
      </c>
    </row>
    <row r="151" spans="1:99" x14ac:dyDescent="0.3">
      <c r="A151">
        <v>578</v>
      </c>
      <c r="B151" t="s">
        <v>892</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BA151">
        <v>0</v>
      </c>
      <c r="BB151">
        <v>0</v>
      </c>
      <c r="BC151">
        <v>0</v>
      </c>
      <c r="BD151">
        <v>0</v>
      </c>
      <c r="BE151">
        <v>4689</v>
      </c>
      <c r="BF151">
        <v>0</v>
      </c>
      <c r="BG151">
        <v>0</v>
      </c>
      <c r="BH151">
        <v>0</v>
      </c>
      <c r="BI151">
        <v>0</v>
      </c>
      <c r="BJ151">
        <v>0</v>
      </c>
      <c r="BK151">
        <v>0</v>
      </c>
      <c r="BL151">
        <v>0</v>
      </c>
      <c r="BM151">
        <v>0</v>
      </c>
      <c r="BN151">
        <v>0</v>
      </c>
      <c r="BO151">
        <v>0</v>
      </c>
      <c r="BP151">
        <v>0</v>
      </c>
      <c r="BQ151">
        <v>0</v>
      </c>
      <c r="BR151">
        <v>0</v>
      </c>
      <c r="BS151" s="180">
        <v>0</v>
      </c>
      <c r="BT151" s="180">
        <v>0</v>
      </c>
      <c r="BU151" s="180">
        <v>0</v>
      </c>
      <c r="BV151" s="180">
        <v>0</v>
      </c>
      <c r="BW151" s="180">
        <v>0</v>
      </c>
      <c r="BX151" s="180">
        <v>0</v>
      </c>
      <c r="BY151" s="180">
        <v>0</v>
      </c>
      <c r="BZ151" s="180">
        <v>0</v>
      </c>
      <c r="CA151" s="180">
        <v>0</v>
      </c>
      <c r="CB151" s="180">
        <v>39243</v>
      </c>
      <c r="CC151" s="180">
        <v>0</v>
      </c>
      <c r="CD151" s="180">
        <v>0</v>
      </c>
      <c r="CE151" s="180"/>
      <c r="CF151" s="180"/>
      <c r="CG151" s="180"/>
      <c r="CH151" s="180"/>
      <c r="CI151" s="180"/>
      <c r="CJ151" s="180"/>
      <c r="CK151" s="180"/>
      <c r="CL151" s="180"/>
      <c r="CM151" s="180"/>
      <c r="CN151" s="180"/>
      <c r="CO151" s="180"/>
      <c r="CP151" s="180"/>
      <c r="CQ151" s="180"/>
      <c r="CR151" s="180"/>
      <c r="CS151" s="180"/>
      <c r="CT151" s="180"/>
      <c r="CU151" s="180"/>
    </row>
    <row r="152" spans="1:99" x14ac:dyDescent="0.3">
      <c r="A152">
        <v>579</v>
      </c>
      <c r="B152" t="s">
        <v>893</v>
      </c>
      <c r="E152">
        <v>0</v>
      </c>
      <c r="F152">
        <v>0</v>
      </c>
      <c r="G152">
        <v>0</v>
      </c>
      <c r="H152">
        <v>0</v>
      </c>
      <c r="I152">
        <v>0</v>
      </c>
      <c r="J152">
        <v>0</v>
      </c>
      <c r="K152">
        <v>0</v>
      </c>
      <c r="L152">
        <v>0</v>
      </c>
      <c r="M152">
        <v>0</v>
      </c>
      <c r="N152">
        <v>0</v>
      </c>
      <c r="O152">
        <v>0</v>
      </c>
      <c r="P152">
        <v>0</v>
      </c>
      <c r="Q152">
        <v>5266543</v>
      </c>
      <c r="R152">
        <v>0</v>
      </c>
      <c r="S152">
        <v>0</v>
      </c>
      <c r="T152">
        <v>0</v>
      </c>
      <c r="U152">
        <v>0</v>
      </c>
      <c r="V152">
        <v>0</v>
      </c>
      <c r="W152">
        <v>0</v>
      </c>
      <c r="X152">
        <v>0</v>
      </c>
      <c r="Y152">
        <v>0</v>
      </c>
      <c r="Z152">
        <v>0</v>
      </c>
      <c r="AA152">
        <v>0</v>
      </c>
      <c r="AB152">
        <v>0</v>
      </c>
      <c r="AC152">
        <v>0</v>
      </c>
      <c r="AD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s="180">
        <v>0</v>
      </c>
      <c r="BT152" s="180">
        <v>0</v>
      </c>
      <c r="BU152" s="180">
        <v>0</v>
      </c>
      <c r="BV152" s="180">
        <v>0</v>
      </c>
      <c r="BW152" s="180">
        <v>0</v>
      </c>
      <c r="BX152" s="180">
        <v>0</v>
      </c>
      <c r="BY152" s="180">
        <v>0</v>
      </c>
      <c r="BZ152" s="180">
        <v>56522</v>
      </c>
      <c r="CA152" s="180">
        <v>0</v>
      </c>
      <c r="CB152" s="180">
        <v>0</v>
      </c>
      <c r="CC152" s="180">
        <v>0</v>
      </c>
      <c r="CD152" s="180">
        <v>0</v>
      </c>
      <c r="CE152" s="180"/>
      <c r="CF152" s="180"/>
      <c r="CG152" s="180"/>
      <c r="CH152" s="180"/>
      <c r="CI152" s="180"/>
      <c r="CJ152" s="180"/>
      <c r="CK152" s="180"/>
      <c r="CL152" s="180"/>
      <c r="CM152" s="180"/>
      <c r="CN152" s="180"/>
      <c r="CO152" s="180"/>
      <c r="CP152" s="180"/>
      <c r="CQ152" s="180"/>
      <c r="CR152" s="180"/>
      <c r="CS152" s="180"/>
      <c r="CT152" s="180"/>
      <c r="CU152" s="180"/>
    </row>
    <row r="153" spans="1:99" x14ac:dyDescent="0.3">
      <c r="A153">
        <v>580</v>
      </c>
      <c r="B153" t="s">
        <v>894</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s="180">
        <v>0</v>
      </c>
      <c r="BT153" s="180">
        <v>0</v>
      </c>
      <c r="BU153" s="180">
        <v>0</v>
      </c>
      <c r="BV153" s="180">
        <v>0</v>
      </c>
      <c r="BW153" s="180">
        <v>0</v>
      </c>
      <c r="BX153" s="180">
        <v>0</v>
      </c>
      <c r="BY153" s="180">
        <v>0</v>
      </c>
      <c r="BZ153" s="180">
        <v>0</v>
      </c>
      <c r="CA153" s="180">
        <v>0</v>
      </c>
      <c r="CB153" s="180">
        <v>0</v>
      </c>
      <c r="CC153" s="180">
        <v>0</v>
      </c>
      <c r="CD153" s="180">
        <v>0</v>
      </c>
      <c r="CE153" s="180"/>
      <c r="CF153" s="180"/>
      <c r="CG153" s="180"/>
      <c r="CH153" s="180"/>
      <c r="CI153" s="180"/>
      <c r="CJ153" s="180"/>
      <c r="CK153" s="180"/>
      <c r="CL153" s="180"/>
      <c r="CM153" s="180"/>
      <c r="CN153" s="180"/>
      <c r="CO153" s="180"/>
      <c r="CP153" s="180"/>
      <c r="CQ153" s="180"/>
      <c r="CR153" s="180"/>
      <c r="CS153" s="180"/>
      <c r="CT153" s="180"/>
      <c r="CU153" s="180"/>
    </row>
    <row r="154" spans="1:99" x14ac:dyDescent="0.3">
      <c r="A154">
        <v>581</v>
      </c>
      <c r="B154" t="s">
        <v>895</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BA154">
        <v>0</v>
      </c>
      <c r="BB154">
        <v>0</v>
      </c>
      <c r="BC154">
        <v>0</v>
      </c>
      <c r="BD154">
        <v>0</v>
      </c>
      <c r="BE154">
        <v>0</v>
      </c>
      <c r="BF154">
        <v>0</v>
      </c>
      <c r="BG154">
        <v>0</v>
      </c>
      <c r="BH154">
        <v>0</v>
      </c>
      <c r="BI154">
        <v>0</v>
      </c>
      <c r="BJ154">
        <v>0</v>
      </c>
      <c r="BK154">
        <v>0</v>
      </c>
      <c r="BL154">
        <v>0</v>
      </c>
      <c r="BM154">
        <v>0</v>
      </c>
      <c r="BN154">
        <v>0</v>
      </c>
      <c r="BO154">
        <v>0</v>
      </c>
      <c r="BP154">
        <v>1400000</v>
      </c>
      <c r="BQ154">
        <v>0</v>
      </c>
      <c r="BR154">
        <v>0</v>
      </c>
      <c r="BS154" s="180">
        <v>0</v>
      </c>
      <c r="BT154" s="180">
        <v>0</v>
      </c>
      <c r="BU154" s="180">
        <v>0</v>
      </c>
      <c r="BV154" s="180">
        <v>0</v>
      </c>
      <c r="BW154" s="180">
        <v>0</v>
      </c>
      <c r="BX154" s="180">
        <v>0</v>
      </c>
      <c r="BY154" s="180">
        <v>0</v>
      </c>
      <c r="BZ154" s="180">
        <v>128064</v>
      </c>
      <c r="CA154" s="180">
        <v>0</v>
      </c>
      <c r="CB154" s="180">
        <v>0</v>
      </c>
      <c r="CC154" s="180">
        <v>0</v>
      </c>
      <c r="CD154" s="180">
        <v>0</v>
      </c>
      <c r="CE154" s="180"/>
      <c r="CF154" s="180"/>
      <c r="CG154" s="180"/>
      <c r="CH154" s="180"/>
      <c r="CI154" s="180"/>
      <c r="CJ154" s="180"/>
      <c r="CK154" s="180"/>
      <c r="CL154" s="180"/>
      <c r="CM154" s="180"/>
      <c r="CN154" s="180"/>
      <c r="CO154" s="180"/>
      <c r="CP154" s="180"/>
      <c r="CQ154" s="180"/>
      <c r="CR154" s="180"/>
      <c r="CS154" s="180"/>
      <c r="CT154" s="180"/>
      <c r="CU154" s="180"/>
    </row>
    <row r="155" spans="1:99" x14ac:dyDescent="0.3">
      <c r="A155">
        <v>586</v>
      </c>
      <c r="B155" t="s">
        <v>896</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s="180">
        <v>0</v>
      </c>
      <c r="BT155" s="180">
        <v>0</v>
      </c>
      <c r="BU155" s="180">
        <v>0</v>
      </c>
      <c r="BV155" s="180">
        <v>0</v>
      </c>
      <c r="BW155" s="180">
        <v>0</v>
      </c>
      <c r="BX155" s="180">
        <v>0</v>
      </c>
      <c r="BY155" s="180">
        <v>0</v>
      </c>
      <c r="BZ155" s="180">
        <v>0</v>
      </c>
      <c r="CA155" s="180">
        <v>0</v>
      </c>
      <c r="CB155" s="180">
        <v>0</v>
      </c>
      <c r="CC155" s="180">
        <v>0</v>
      </c>
      <c r="CD155" s="180">
        <v>0</v>
      </c>
      <c r="CE155" s="180"/>
      <c r="CF155" s="180"/>
      <c r="CG155" s="180"/>
      <c r="CH155" s="180"/>
      <c r="CI155" s="180"/>
      <c r="CJ155" s="180"/>
      <c r="CK155" s="180"/>
      <c r="CL155" s="180"/>
      <c r="CM155" s="180"/>
      <c r="CN155" s="180"/>
      <c r="CO155" s="180"/>
      <c r="CP155" s="180"/>
      <c r="CQ155" s="180"/>
      <c r="CR155" s="180"/>
      <c r="CS155" s="180"/>
      <c r="CT155" s="180"/>
      <c r="CU155" s="180"/>
    </row>
    <row r="156" spans="1:99" x14ac:dyDescent="0.3">
      <c r="A156">
        <v>590</v>
      </c>
      <c r="B156" t="s">
        <v>1579</v>
      </c>
      <c r="E156" t="s">
        <v>1988</v>
      </c>
      <c r="F156" t="s">
        <v>1988</v>
      </c>
      <c r="H156" t="s">
        <v>1988</v>
      </c>
      <c r="I156" t="s">
        <v>1988</v>
      </c>
      <c r="J156" t="s">
        <v>1988</v>
      </c>
      <c r="K156" t="s">
        <v>1988</v>
      </c>
      <c r="L156" t="s">
        <v>1988</v>
      </c>
      <c r="M156" t="s">
        <v>1581</v>
      </c>
      <c r="N156" t="s">
        <v>1988</v>
      </c>
      <c r="O156" t="s">
        <v>1988</v>
      </c>
      <c r="P156" t="s">
        <v>1988</v>
      </c>
      <c r="Q156" t="s">
        <v>1581</v>
      </c>
      <c r="R156" t="s">
        <v>1988</v>
      </c>
      <c r="S156" t="s">
        <v>1988</v>
      </c>
      <c r="T156" t="s">
        <v>1988</v>
      </c>
      <c r="U156" t="s">
        <v>1988</v>
      </c>
      <c r="V156" t="s">
        <v>1988</v>
      </c>
      <c r="W156" t="s">
        <v>1988</v>
      </c>
      <c r="X156" t="s">
        <v>1988</v>
      </c>
      <c r="Y156" t="s">
        <v>1988</v>
      </c>
      <c r="Z156" t="s">
        <v>1988</v>
      </c>
      <c r="AA156" t="s">
        <v>1988</v>
      </c>
      <c r="AB156" t="s">
        <v>1988</v>
      </c>
      <c r="AC156" t="s">
        <v>1988</v>
      </c>
      <c r="AG156" t="s">
        <v>1988</v>
      </c>
      <c r="AH156" t="s">
        <v>1988</v>
      </c>
      <c r="AI156" t="s">
        <v>1988</v>
      </c>
      <c r="AJ156" t="s">
        <v>2569</v>
      </c>
      <c r="AK156" t="s">
        <v>1988</v>
      </c>
      <c r="AL156" t="s">
        <v>1988</v>
      </c>
      <c r="AN156" t="s">
        <v>1988</v>
      </c>
      <c r="AO156" t="s">
        <v>1988</v>
      </c>
      <c r="AP156" t="s">
        <v>1988</v>
      </c>
      <c r="AQ156" t="s">
        <v>1988</v>
      </c>
      <c r="AR156" t="s">
        <v>1988</v>
      </c>
      <c r="AS156" t="s">
        <v>1988</v>
      </c>
      <c r="AT156" t="s">
        <v>1988</v>
      </c>
      <c r="AU156" t="s">
        <v>1988</v>
      </c>
      <c r="AV156" t="s">
        <v>1988</v>
      </c>
      <c r="AW156" t="s">
        <v>1988</v>
      </c>
      <c r="AX156" t="s">
        <v>1988</v>
      </c>
      <c r="AY156" t="s">
        <v>1988</v>
      </c>
      <c r="BA156" t="s">
        <v>1581</v>
      </c>
      <c r="BC156" t="s">
        <v>1988</v>
      </c>
      <c r="BD156" t="s">
        <v>1988</v>
      </c>
      <c r="BE156" t="s">
        <v>1988</v>
      </c>
      <c r="BF156" t="s">
        <v>1988</v>
      </c>
      <c r="BG156" t="s">
        <v>1988</v>
      </c>
      <c r="BH156" t="s">
        <v>1988</v>
      </c>
      <c r="BI156" t="s">
        <v>1988</v>
      </c>
      <c r="BJ156" t="s">
        <v>1988</v>
      </c>
      <c r="BK156" t="s">
        <v>1988</v>
      </c>
      <c r="BL156" t="s">
        <v>1988</v>
      </c>
      <c r="BM156" t="s">
        <v>1988</v>
      </c>
      <c r="BN156" t="s">
        <v>1988</v>
      </c>
      <c r="BO156" t="s">
        <v>1988</v>
      </c>
      <c r="BP156" t="s">
        <v>1988</v>
      </c>
      <c r="BQ156" t="s">
        <v>1988</v>
      </c>
      <c r="BR156" t="s">
        <v>1988</v>
      </c>
      <c r="BS156" s="180" t="s">
        <v>1581</v>
      </c>
      <c r="BT156" s="180" t="s">
        <v>1988</v>
      </c>
      <c r="BU156" s="180" t="s">
        <v>1988</v>
      </c>
      <c r="BV156" s="180" t="s">
        <v>1988</v>
      </c>
      <c r="BW156" s="180" t="s">
        <v>1988</v>
      </c>
      <c r="BX156" s="180" t="s">
        <v>1988</v>
      </c>
      <c r="BY156" s="180" t="s">
        <v>1580</v>
      </c>
      <c r="BZ156" s="180" t="s">
        <v>1580</v>
      </c>
      <c r="CA156" s="180" t="s">
        <v>1988</v>
      </c>
      <c r="CB156" s="180"/>
      <c r="CC156" s="180" t="s">
        <v>1988</v>
      </c>
      <c r="CD156" s="180" t="s">
        <v>1988</v>
      </c>
      <c r="CE156" s="180"/>
      <c r="CF156" s="180"/>
      <c r="CG156" s="180"/>
      <c r="CH156" s="180"/>
      <c r="CI156" s="180"/>
      <c r="CJ156" s="180"/>
      <c r="CK156" s="180"/>
      <c r="CL156" s="180"/>
      <c r="CM156" s="180"/>
      <c r="CN156" s="180"/>
      <c r="CO156" s="180"/>
      <c r="CP156" s="180"/>
      <c r="CQ156" s="180"/>
      <c r="CR156" s="180"/>
      <c r="CS156" s="180"/>
      <c r="CT156" s="180"/>
      <c r="CU156" s="180"/>
    </row>
    <row r="157" spans="1:99" s="566" customFormat="1" x14ac:dyDescent="0.3">
      <c r="A157">
        <v>591</v>
      </c>
      <c r="B157" t="s">
        <v>327</v>
      </c>
      <c r="C157"/>
      <c r="D157"/>
      <c r="E157">
        <v>1732721</v>
      </c>
      <c r="F157">
        <v>0</v>
      </c>
      <c r="G157">
        <v>1000511</v>
      </c>
      <c r="H157">
        <v>442441</v>
      </c>
      <c r="I157">
        <v>212024</v>
      </c>
      <c r="J157">
        <v>0</v>
      </c>
      <c r="K157">
        <v>558536</v>
      </c>
      <c r="L157">
        <v>10576106</v>
      </c>
      <c r="M157">
        <v>51556290</v>
      </c>
      <c r="N157">
        <v>0</v>
      </c>
      <c r="O157">
        <v>0</v>
      </c>
      <c r="P157">
        <v>216211</v>
      </c>
      <c r="Q157">
        <v>15826655</v>
      </c>
      <c r="R157">
        <v>0</v>
      </c>
      <c r="S157">
        <v>1180461</v>
      </c>
      <c r="T157">
        <v>2090185</v>
      </c>
      <c r="U157">
        <v>331059</v>
      </c>
      <c r="V157">
        <v>3504162</v>
      </c>
      <c r="W157">
        <v>0</v>
      </c>
      <c r="X157">
        <v>746060</v>
      </c>
      <c r="Y157">
        <v>2754269</v>
      </c>
      <c r="Z157">
        <v>30001766</v>
      </c>
      <c r="AA157">
        <v>122579</v>
      </c>
      <c r="AB157">
        <v>391228</v>
      </c>
      <c r="AC157">
        <v>0</v>
      </c>
      <c r="AD157">
        <v>0</v>
      </c>
      <c r="AE157"/>
      <c r="AF157">
        <v>124063792</v>
      </c>
      <c r="AG157">
        <v>0</v>
      </c>
      <c r="AH157">
        <v>195986</v>
      </c>
      <c r="AI157">
        <v>3468730</v>
      </c>
      <c r="AJ157">
        <v>86346</v>
      </c>
      <c r="AK157">
        <v>108991</v>
      </c>
      <c r="AL157">
        <v>16003917</v>
      </c>
      <c r="AM157">
        <v>359312</v>
      </c>
      <c r="AN157">
        <v>8797059</v>
      </c>
      <c r="AO157">
        <v>0</v>
      </c>
      <c r="AP157">
        <v>9440288</v>
      </c>
      <c r="AQ157">
        <v>0</v>
      </c>
      <c r="AR157">
        <v>0</v>
      </c>
      <c r="AS157">
        <v>1218058</v>
      </c>
      <c r="AT157">
        <v>474130</v>
      </c>
      <c r="AU157">
        <v>274128094</v>
      </c>
      <c r="AV157">
        <v>292508055</v>
      </c>
      <c r="AW157">
        <v>1345098</v>
      </c>
      <c r="AX157">
        <v>474775</v>
      </c>
      <c r="AY157">
        <v>679685</v>
      </c>
      <c r="AZ157"/>
      <c r="BA157">
        <v>779856</v>
      </c>
      <c r="BB157">
        <v>3554397</v>
      </c>
      <c r="BC157">
        <v>286910</v>
      </c>
      <c r="BD157">
        <v>0</v>
      </c>
      <c r="BE157">
        <v>178396</v>
      </c>
      <c r="BF157">
        <v>11348337</v>
      </c>
      <c r="BG157">
        <v>0</v>
      </c>
      <c r="BH157">
        <v>9191290</v>
      </c>
      <c r="BI157">
        <v>2187235</v>
      </c>
      <c r="BJ157">
        <v>0</v>
      </c>
      <c r="BK157">
        <v>0</v>
      </c>
      <c r="BL157">
        <v>15273973</v>
      </c>
      <c r="BM157">
        <v>26836795</v>
      </c>
      <c r="BN157">
        <v>5445311</v>
      </c>
      <c r="BO157">
        <v>39365636</v>
      </c>
      <c r="BP157">
        <v>198122212</v>
      </c>
      <c r="BQ157">
        <v>301197</v>
      </c>
      <c r="BR157">
        <v>9625037</v>
      </c>
      <c r="BS157" s="566">
        <v>0</v>
      </c>
      <c r="BT157" s="566">
        <v>11793055</v>
      </c>
      <c r="BU157" s="566">
        <v>857458</v>
      </c>
      <c r="BV157" s="566">
        <v>104460</v>
      </c>
      <c r="BW157" s="566">
        <v>3981259</v>
      </c>
      <c r="BX157" s="566">
        <v>0</v>
      </c>
      <c r="BY157" s="566">
        <v>23540747</v>
      </c>
      <c r="BZ157" s="566">
        <v>1143775</v>
      </c>
      <c r="CA157" s="566">
        <v>0</v>
      </c>
      <c r="CB157" s="566">
        <v>332822</v>
      </c>
      <c r="CC157" s="566">
        <v>0</v>
      </c>
      <c r="CD157" s="566">
        <v>27275194</v>
      </c>
    </row>
    <row r="158" spans="1:99" s="566" customFormat="1" x14ac:dyDescent="0.3">
      <c r="A158">
        <v>592</v>
      </c>
      <c r="B158" t="s">
        <v>328</v>
      </c>
      <c r="C158"/>
      <c r="D158"/>
      <c r="E158">
        <v>88446</v>
      </c>
      <c r="F158">
        <v>0</v>
      </c>
      <c r="G158">
        <v>25325</v>
      </c>
      <c r="H158">
        <v>51844</v>
      </c>
      <c r="I158">
        <v>-28164</v>
      </c>
      <c r="J158">
        <v>0</v>
      </c>
      <c r="K158">
        <v>-86740</v>
      </c>
      <c r="L158">
        <v>510789</v>
      </c>
      <c r="M158">
        <v>674704</v>
      </c>
      <c r="N158">
        <v>0</v>
      </c>
      <c r="O158">
        <v>0</v>
      </c>
      <c r="P158">
        <v>-103306</v>
      </c>
      <c r="Q158">
        <v>923864</v>
      </c>
      <c r="R158">
        <v>0</v>
      </c>
      <c r="S158">
        <v>360874</v>
      </c>
      <c r="T158">
        <v>254076</v>
      </c>
      <c r="U158">
        <v>82489</v>
      </c>
      <c r="V158">
        <v>1823869</v>
      </c>
      <c r="W158">
        <v>0</v>
      </c>
      <c r="X158">
        <v>-119549</v>
      </c>
      <c r="Y158">
        <v>256592</v>
      </c>
      <c r="Z158">
        <v>14382245</v>
      </c>
      <c r="AA158">
        <v>214917</v>
      </c>
      <c r="AB158">
        <v>-55665</v>
      </c>
      <c r="AC158">
        <v>0</v>
      </c>
      <c r="AD158">
        <v>0</v>
      </c>
      <c r="AE158"/>
      <c r="AF158">
        <v>20553272</v>
      </c>
      <c r="AG158">
        <v>0</v>
      </c>
      <c r="AH158">
        <v>-33759</v>
      </c>
      <c r="AI158">
        <v>1686819</v>
      </c>
      <c r="AJ158">
        <v>-57499</v>
      </c>
      <c r="AK158">
        <v>883414</v>
      </c>
      <c r="AL158">
        <v>8483232</v>
      </c>
      <c r="AM158">
        <v>1241957</v>
      </c>
      <c r="AN158">
        <v>12384598</v>
      </c>
      <c r="AO158">
        <v>0</v>
      </c>
      <c r="AP158">
        <v>1127999</v>
      </c>
      <c r="AQ158">
        <v>0</v>
      </c>
      <c r="AR158">
        <v>0</v>
      </c>
      <c r="AS158">
        <v>484624</v>
      </c>
      <c r="AT158">
        <v>-41315</v>
      </c>
      <c r="AU158">
        <v>21668149</v>
      </c>
      <c r="AV158">
        <v>3845781</v>
      </c>
      <c r="AW158">
        <v>665337</v>
      </c>
      <c r="AX158">
        <v>-132819</v>
      </c>
      <c r="AY158">
        <v>53736</v>
      </c>
      <c r="AZ158"/>
      <c r="BA158">
        <v>127293</v>
      </c>
      <c r="BB158">
        <v>-220006</v>
      </c>
      <c r="BC158">
        <v>-53813</v>
      </c>
      <c r="BD158">
        <v>0</v>
      </c>
      <c r="BE158">
        <v>-63443</v>
      </c>
      <c r="BF158">
        <v>4873293</v>
      </c>
      <c r="BG158">
        <v>0</v>
      </c>
      <c r="BH158">
        <v>1352520</v>
      </c>
      <c r="BI158">
        <v>43964</v>
      </c>
      <c r="BJ158">
        <v>0</v>
      </c>
      <c r="BK158">
        <v>0</v>
      </c>
      <c r="BL158">
        <v>3222927</v>
      </c>
      <c r="BM158">
        <v>1063163</v>
      </c>
      <c r="BN158">
        <v>97735</v>
      </c>
      <c r="BO158">
        <v>7209850</v>
      </c>
      <c r="BP158">
        <v>13735122</v>
      </c>
      <c r="BQ158">
        <v>1521296</v>
      </c>
      <c r="BR158">
        <v>163828</v>
      </c>
      <c r="BS158" s="566">
        <v>0</v>
      </c>
      <c r="BT158" s="566">
        <v>1389645</v>
      </c>
      <c r="BU158" s="566">
        <v>-101278</v>
      </c>
      <c r="BV158" s="566">
        <v>-26085</v>
      </c>
      <c r="BW158" s="566">
        <v>138055</v>
      </c>
      <c r="BX158" s="566">
        <v>0</v>
      </c>
      <c r="BY158" s="566">
        <v>18808305</v>
      </c>
      <c r="BZ158" s="566">
        <v>1228042</v>
      </c>
      <c r="CA158" s="566">
        <v>0</v>
      </c>
      <c r="CB158" s="566">
        <v>281919</v>
      </c>
      <c r="CC158" s="566">
        <v>0</v>
      </c>
      <c r="CD158" s="566">
        <v>2555074</v>
      </c>
    </row>
    <row r="159" spans="1:99" x14ac:dyDescent="0.3">
      <c r="A159">
        <v>596</v>
      </c>
      <c r="B159" t="s">
        <v>333</v>
      </c>
      <c r="E159">
        <v>52</v>
      </c>
      <c r="F159">
        <v>52</v>
      </c>
      <c r="G159">
        <v>52</v>
      </c>
      <c r="H159">
        <v>52</v>
      </c>
      <c r="I159">
        <v>52</v>
      </c>
      <c r="J159">
        <v>52</v>
      </c>
      <c r="K159">
        <v>52</v>
      </c>
      <c r="L159">
        <v>52</v>
      </c>
      <c r="M159">
        <v>52</v>
      </c>
      <c r="N159">
        <v>0</v>
      </c>
      <c r="O159">
        <v>0</v>
      </c>
      <c r="P159">
        <v>52</v>
      </c>
      <c r="Q159">
        <v>52</v>
      </c>
      <c r="R159">
        <v>0</v>
      </c>
      <c r="S159">
        <v>52</v>
      </c>
      <c r="T159">
        <v>52</v>
      </c>
      <c r="U159">
        <v>52</v>
      </c>
      <c r="V159">
        <v>52</v>
      </c>
      <c r="W159">
        <v>0</v>
      </c>
      <c r="X159">
        <v>52</v>
      </c>
      <c r="Y159">
        <v>52</v>
      </c>
      <c r="Z159">
        <v>52</v>
      </c>
      <c r="AA159">
        <v>52</v>
      </c>
      <c r="AB159">
        <v>52</v>
      </c>
      <c r="AC159">
        <v>52</v>
      </c>
      <c r="AD159">
        <v>0</v>
      </c>
      <c r="AF159">
        <v>52</v>
      </c>
      <c r="AG159">
        <v>0</v>
      </c>
      <c r="AH159">
        <v>52</v>
      </c>
      <c r="AI159">
        <v>52</v>
      </c>
      <c r="AJ159">
        <v>52</v>
      </c>
      <c r="AK159">
        <v>52</v>
      </c>
      <c r="AL159">
        <v>52</v>
      </c>
      <c r="AM159">
        <v>52</v>
      </c>
      <c r="AN159">
        <v>52</v>
      </c>
      <c r="AO159">
        <v>52</v>
      </c>
      <c r="AP159">
        <v>52</v>
      </c>
      <c r="AQ159">
        <v>52</v>
      </c>
      <c r="AR159">
        <v>52</v>
      </c>
      <c r="AS159">
        <v>52</v>
      </c>
      <c r="AT159">
        <v>52</v>
      </c>
      <c r="AU159">
        <v>52</v>
      </c>
      <c r="AV159">
        <v>52</v>
      </c>
      <c r="AW159">
        <v>52</v>
      </c>
      <c r="AX159">
        <v>52</v>
      </c>
      <c r="AY159">
        <v>52</v>
      </c>
      <c r="BA159">
        <v>52</v>
      </c>
      <c r="BB159">
        <v>52</v>
      </c>
      <c r="BC159">
        <v>52</v>
      </c>
      <c r="BD159">
        <v>52</v>
      </c>
      <c r="BE159">
        <v>52</v>
      </c>
      <c r="BF159">
        <v>52</v>
      </c>
      <c r="BG159">
        <v>0</v>
      </c>
      <c r="BH159">
        <v>52</v>
      </c>
      <c r="BI159">
        <v>52</v>
      </c>
      <c r="BJ159">
        <v>52</v>
      </c>
      <c r="BK159">
        <v>0</v>
      </c>
      <c r="BL159">
        <v>52</v>
      </c>
      <c r="BM159">
        <v>52</v>
      </c>
      <c r="BN159">
        <v>52</v>
      </c>
      <c r="BO159">
        <v>52</v>
      </c>
      <c r="BP159">
        <v>52</v>
      </c>
      <c r="BQ159">
        <v>52</v>
      </c>
      <c r="BR159">
        <v>52</v>
      </c>
      <c r="BS159" s="180">
        <v>0</v>
      </c>
      <c r="BT159" s="180">
        <v>52</v>
      </c>
      <c r="BU159" s="180">
        <v>52</v>
      </c>
      <c r="BV159" s="180">
        <v>52</v>
      </c>
      <c r="BW159" s="180">
        <v>52</v>
      </c>
      <c r="BX159" s="180">
        <v>0</v>
      </c>
      <c r="BY159" s="180">
        <v>52</v>
      </c>
      <c r="BZ159" s="180">
        <v>52</v>
      </c>
      <c r="CA159" s="180">
        <v>52</v>
      </c>
      <c r="CB159" s="180">
        <v>52</v>
      </c>
      <c r="CC159" s="180">
        <v>0</v>
      </c>
      <c r="CD159" s="180">
        <v>52</v>
      </c>
      <c r="CE159" s="180"/>
      <c r="CF159" s="180"/>
      <c r="CG159" s="180"/>
      <c r="CH159" s="180"/>
      <c r="CI159" s="180"/>
      <c r="CJ159" s="180"/>
      <c r="CK159" s="180"/>
      <c r="CL159" s="180"/>
      <c r="CM159" s="180"/>
      <c r="CN159" s="180"/>
      <c r="CO159" s="180"/>
      <c r="CP159" s="180"/>
      <c r="CQ159" s="180"/>
      <c r="CR159" s="180"/>
      <c r="CS159" s="180"/>
      <c r="CT159" s="180"/>
      <c r="CU159" s="180"/>
    </row>
    <row r="160" spans="1:99" x14ac:dyDescent="0.3">
      <c r="A160">
        <v>597</v>
      </c>
      <c r="B160" t="s">
        <v>336</v>
      </c>
      <c r="E160">
        <v>7541</v>
      </c>
      <c r="F160">
        <v>5398</v>
      </c>
      <c r="G160">
        <v>12389</v>
      </c>
      <c r="H160">
        <v>3649</v>
      </c>
      <c r="I160">
        <v>1171</v>
      </c>
      <c r="J160">
        <v>5</v>
      </c>
      <c r="K160">
        <v>1939</v>
      </c>
      <c r="L160">
        <v>104200</v>
      </c>
      <c r="M160">
        <v>8841487</v>
      </c>
      <c r="N160">
        <v>119661</v>
      </c>
      <c r="O160">
        <v>0</v>
      </c>
      <c r="P160">
        <v>0</v>
      </c>
      <c r="Q160">
        <v>529602</v>
      </c>
      <c r="R160">
        <v>811</v>
      </c>
      <c r="S160">
        <v>5572</v>
      </c>
      <c r="T160">
        <v>19875</v>
      </c>
      <c r="U160">
        <v>90389</v>
      </c>
      <c r="V160">
        <v>282073</v>
      </c>
      <c r="W160">
        <v>4740</v>
      </c>
      <c r="X160">
        <v>45636</v>
      </c>
      <c r="Y160">
        <v>18013</v>
      </c>
      <c r="Z160">
        <v>3186707</v>
      </c>
      <c r="AA160">
        <v>169914</v>
      </c>
      <c r="AB160">
        <v>0</v>
      </c>
      <c r="AC160">
        <v>1404518</v>
      </c>
      <c r="AD160">
        <v>15420</v>
      </c>
      <c r="AF160">
        <v>6515041</v>
      </c>
      <c r="AG160">
        <v>0</v>
      </c>
      <c r="AH160">
        <v>13686</v>
      </c>
      <c r="AI160">
        <v>210514</v>
      </c>
      <c r="AJ160">
        <v>4</v>
      </c>
      <c r="AK160">
        <v>0</v>
      </c>
      <c r="AL160">
        <v>1119587</v>
      </c>
      <c r="AM160">
        <v>0</v>
      </c>
      <c r="AN160">
        <v>499158</v>
      </c>
      <c r="AO160">
        <v>713</v>
      </c>
      <c r="AP160">
        <v>542046</v>
      </c>
      <c r="AQ160">
        <v>98246</v>
      </c>
      <c r="AR160">
        <v>1184</v>
      </c>
      <c r="AS160">
        <v>0</v>
      </c>
      <c r="AT160">
        <v>43604</v>
      </c>
      <c r="AU160">
        <v>12980910</v>
      </c>
      <c r="AV160">
        <v>5022093</v>
      </c>
      <c r="AW160">
        <v>2634</v>
      </c>
      <c r="AX160">
        <v>1669</v>
      </c>
      <c r="AY160">
        <v>0</v>
      </c>
      <c r="BA160">
        <v>16088</v>
      </c>
      <c r="BB160">
        <v>259211</v>
      </c>
      <c r="BC160">
        <v>10247</v>
      </c>
      <c r="BD160">
        <v>694</v>
      </c>
      <c r="BE160">
        <v>7674</v>
      </c>
      <c r="BF160">
        <v>752531</v>
      </c>
      <c r="BG160">
        <v>8</v>
      </c>
      <c r="BH160">
        <v>847688</v>
      </c>
      <c r="BI160">
        <v>59893</v>
      </c>
      <c r="BJ160">
        <v>0</v>
      </c>
      <c r="BK160">
        <v>3376</v>
      </c>
      <c r="BL160">
        <v>458993</v>
      </c>
      <c r="BM160">
        <v>969042</v>
      </c>
      <c r="BN160">
        <v>99781</v>
      </c>
      <c r="BO160">
        <v>0</v>
      </c>
      <c r="BP160">
        <v>7036893</v>
      </c>
      <c r="BQ160">
        <v>3276</v>
      </c>
      <c r="BR160">
        <v>614980</v>
      </c>
      <c r="BS160" s="180">
        <v>0</v>
      </c>
      <c r="BT160" s="180">
        <v>0</v>
      </c>
      <c r="BU160" s="180">
        <v>0</v>
      </c>
      <c r="BV160" s="180">
        <v>4543</v>
      </c>
      <c r="BW160" s="180">
        <v>406063</v>
      </c>
      <c r="BX160" s="180">
        <v>2684</v>
      </c>
      <c r="BY160" s="180">
        <v>3375138</v>
      </c>
      <c r="BZ160" s="180">
        <v>15238</v>
      </c>
      <c r="CA160" s="180">
        <v>636657</v>
      </c>
      <c r="CB160" s="180">
        <v>0</v>
      </c>
      <c r="CC160" s="180">
        <v>0</v>
      </c>
      <c r="CD160" s="180">
        <v>3413292</v>
      </c>
      <c r="CE160" s="180"/>
      <c r="CF160" s="180"/>
      <c r="CG160" s="180"/>
      <c r="CH160" s="180"/>
      <c r="CI160" s="180"/>
      <c r="CJ160" s="180"/>
      <c r="CK160" s="180"/>
      <c r="CL160" s="180"/>
      <c r="CM160" s="180"/>
      <c r="CN160" s="180"/>
      <c r="CO160" s="180"/>
      <c r="CP160" s="180"/>
      <c r="CQ160" s="180"/>
      <c r="CR160" s="180"/>
      <c r="CS160" s="180"/>
      <c r="CT160" s="180"/>
      <c r="CU160" s="180"/>
    </row>
    <row r="161" spans="1:99" x14ac:dyDescent="0.3">
      <c r="A161">
        <v>598</v>
      </c>
      <c r="B161" t="s">
        <v>341</v>
      </c>
      <c r="E161">
        <v>0</v>
      </c>
      <c r="F161">
        <v>0</v>
      </c>
      <c r="G161">
        <v>0</v>
      </c>
      <c r="H161">
        <v>0</v>
      </c>
      <c r="I161">
        <v>0</v>
      </c>
      <c r="J161">
        <v>0</v>
      </c>
      <c r="K161">
        <v>0</v>
      </c>
      <c r="L161">
        <v>61156</v>
      </c>
      <c r="M161">
        <v>1292132</v>
      </c>
      <c r="N161">
        <v>0</v>
      </c>
      <c r="O161">
        <v>8576</v>
      </c>
      <c r="P161">
        <v>0</v>
      </c>
      <c r="Q161">
        <v>54376</v>
      </c>
      <c r="R161">
        <v>0</v>
      </c>
      <c r="S161">
        <v>0</v>
      </c>
      <c r="T161">
        <v>0</v>
      </c>
      <c r="U161">
        <v>0</v>
      </c>
      <c r="V161">
        <v>86773</v>
      </c>
      <c r="W161">
        <v>0</v>
      </c>
      <c r="X161">
        <v>0</v>
      </c>
      <c r="Y161">
        <v>16340</v>
      </c>
      <c r="Z161">
        <v>97398</v>
      </c>
      <c r="AA161">
        <v>0</v>
      </c>
      <c r="AB161">
        <v>0</v>
      </c>
      <c r="AC161">
        <v>425143</v>
      </c>
      <c r="AD161">
        <v>0</v>
      </c>
      <c r="AF161">
        <v>1900163</v>
      </c>
      <c r="AG161">
        <v>0</v>
      </c>
      <c r="AH161">
        <v>0</v>
      </c>
      <c r="AI161">
        <v>0</v>
      </c>
      <c r="AJ161">
        <v>0</v>
      </c>
      <c r="AK161">
        <v>0</v>
      </c>
      <c r="AL161">
        <v>205735</v>
      </c>
      <c r="AM161">
        <v>0</v>
      </c>
      <c r="AN161">
        <v>54302</v>
      </c>
      <c r="AO161">
        <v>0</v>
      </c>
      <c r="AP161">
        <v>4555</v>
      </c>
      <c r="AQ161">
        <v>0</v>
      </c>
      <c r="AR161">
        <v>0</v>
      </c>
      <c r="AS161">
        <v>0</v>
      </c>
      <c r="AT161">
        <v>0</v>
      </c>
      <c r="AU161">
        <v>3030700</v>
      </c>
      <c r="AV161">
        <v>969812</v>
      </c>
      <c r="AW161">
        <v>0</v>
      </c>
      <c r="AX161">
        <v>0</v>
      </c>
      <c r="AY161">
        <v>0</v>
      </c>
      <c r="BA161">
        <v>0</v>
      </c>
      <c r="BB161">
        <v>48344</v>
      </c>
      <c r="BC161">
        <v>0</v>
      </c>
      <c r="BD161">
        <v>0</v>
      </c>
      <c r="BE161">
        <v>0</v>
      </c>
      <c r="BF161">
        <v>0</v>
      </c>
      <c r="BG161">
        <v>0</v>
      </c>
      <c r="BH161">
        <v>27673</v>
      </c>
      <c r="BI161">
        <v>26391</v>
      </c>
      <c r="BJ161">
        <v>0</v>
      </c>
      <c r="BK161">
        <v>0</v>
      </c>
      <c r="BL161">
        <v>107260</v>
      </c>
      <c r="BM161">
        <v>75285</v>
      </c>
      <c r="BN161">
        <v>0</v>
      </c>
      <c r="BO161">
        <v>273997</v>
      </c>
      <c r="BP161">
        <v>1201145</v>
      </c>
      <c r="BQ161">
        <v>0</v>
      </c>
      <c r="BR161">
        <v>37024</v>
      </c>
      <c r="BS161" s="180">
        <v>0</v>
      </c>
      <c r="BT161" s="180">
        <v>47045</v>
      </c>
      <c r="BU161" s="180">
        <v>0</v>
      </c>
      <c r="BV161" s="180">
        <v>0</v>
      </c>
      <c r="BW161" s="180">
        <v>13335</v>
      </c>
      <c r="BX161" s="180">
        <v>0</v>
      </c>
      <c r="BY161" s="180">
        <v>47654</v>
      </c>
      <c r="BZ161" s="180">
        <v>0</v>
      </c>
      <c r="CA161" s="180">
        <v>58822</v>
      </c>
      <c r="CB161" s="180">
        <v>0</v>
      </c>
      <c r="CC161" s="180">
        <v>17034</v>
      </c>
      <c r="CD161" s="180">
        <v>75374</v>
      </c>
      <c r="CE161" s="180"/>
      <c r="CF161" s="180"/>
      <c r="CG161" s="180"/>
      <c r="CH161" s="180"/>
      <c r="CI161" s="180"/>
      <c r="CJ161" s="180"/>
      <c r="CK161" s="180"/>
      <c r="CL161" s="180"/>
      <c r="CM161" s="180"/>
      <c r="CN161" s="180"/>
      <c r="CO161" s="180"/>
      <c r="CP161" s="180"/>
      <c r="CQ161" s="180"/>
      <c r="CR161" s="180"/>
      <c r="CS161" s="180"/>
      <c r="CT161" s="180"/>
      <c r="CU161" s="180"/>
    </row>
    <row r="162" spans="1:99" x14ac:dyDescent="0.3">
      <c r="A162">
        <v>599</v>
      </c>
      <c r="B162" t="s">
        <v>340</v>
      </c>
      <c r="E162">
        <v>180960</v>
      </c>
      <c r="F162">
        <v>0</v>
      </c>
      <c r="G162">
        <v>0</v>
      </c>
      <c r="H162">
        <v>0</v>
      </c>
      <c r="I162">
        <v>0</v>
      </c>
      <c r="J162">
        <v>0</v>
      </c>
      <c r="K162">
        <v>0</v>
      </c>
      <c r="L162">
        <v>732272</v>
      </c>
      <c r="M162">
        <v>18264026</v>
      </c>
      <c r="N162">
        <v>0</v>
      </c>
      <c r="O162">
        <v>331926</v>
      </c>
      <c r="P162">
        <v>0</v>
      </c>
      <c r="Q162">
        <v>1283476</v>
      </c>
      <c r="R162">
        <v>0</v>
      </c>
      <c r="S162">
        <v>0</v>
      </c>
      <c r="T162">
        <v>138722</v>
      </c>
      <c r="U162">
        <v>90518</v>
      </c>
      <c r="V162">
        <v>1168065</v>
      </c>
      <c r="W162">
        <v>440380</v>
      </c>
      <c r="X162">
        <v>0</v>
      </c>
      <c r="Y162">
        <v>146231</v>
      </c>
      <c r="Z162">
        <v>1802625</v>
      </c>
      <c r="AA162">
        <v>0</v>
      </c>
      <c r="AB162">
        <v>0</v>
      </c>
      <c r="AC162">
        <v>4401519</v>
      </c>
      <c r="AD162">
        <v>0</v>
      </c>
      <c r="AF162">
        <v>21078480</v>
      </c>
      <c r="AG162">
        <v>0</v>
      </c>
      <c r="AH162">
        <v>0</v>
      </c>
      <c r="AI162">
        <v>459457</v>
      </c>
      <c r="AJ162">
        <v>61194</v>
      </c>
      <c r="AK162">
        <v>0</v>
      </c>
      <c r="AL162">
        <v>3794234</v>
      </c>
      <c r="AM162">
        <v>0</v>
      </c>
      <c r="AN162">
        <v>1709953</v>
      </c>
      <c r="AO162">
        <v>0</v>
      </c>
      <c r="AP162">
        <v>426512</v>
      </c>
      <c r="AQ162">
        <v>218169</v>
      </c>
      <c r="AR162">
        <v>0</v>
      </c>
      <c r="AS162">
        <v>0</v>
      </c>
      <c r="AT162">
        <v>0</v>
      </c>
      <c r="AU162">
        <v>37440965</v>
      </c>
      <c r="AV162">
        <v>9716266</v>
      </c>
      <c r="AW162">
        <v>63381</v>
      </c>
      <c r="AX162">
        <v>0</v>
      </c>
      <c r="AY162">
        <v>0</v>
      </c>
      <c r="BA162">
        <v>0</v>
      </c>
      <c r="BB162">
        <v>469509</v>
      </c>
      <c r="BC162">
        <v>0</v>
      </c>
      <c r="BD162">
        <v>0</v>
      </c>
      <c r="BE162">
        <v>0</v>
      </c>
      <c r="BF162">
        <v>0</v>
      </c>
      <c r="BG162">
        <v>0</v>
      </c>
      <c r="BH162">
        <v>439773</v>
      </c>
      <c r="BI162">
        <v>235730</v>
      </c>
      <c r="BJ162">
        <v>0</v>
      </c>
      <c r="BK162">
        <v>0</v>
      </c>
      <c r="BL162">
        <v>1492877</v>
      </c>
      <c r="BM162">
        <v>1445194</v>
      </c>
      <c r="BN162">
        <v>0</v>
      </c>
      <c r="BO162">
        <v>4463232</v>
      </c>
      <c r="BP162">
        <v>17352114</v>
      </c>
      <c r="BQ162">
        <v>0</v>
      </c>
      <c r="BR162">
        <v>390721</v>
      </c>
      <c r="BS162" s="180">
        <v>0</v>
      </c>
      <c r="BT162" s="180">
        <v>1195633</v>
      </c>
      <c r="BU162" s="180">
        <v>0</v>
      </c>
      <c r="BV162" s="180">
        <v>0</v>
      </c>
      <c r="BW162" s="180">
        <v>353957</v>
      </c>
      <c r="BX162" s="180">
        <v>261411</v>
      </c>
      <c r="BY162" s="180">
        <v>2996477</v>
      </c>
      <c r="BZ162" s="180">
        <v>0</v>
      </c>
      <c r="CA162" s="180">
        <v>747856</v>
      </c>
      <c r="CB162" s="180">
        <v>0</v>
      </c>
      <c r="CC162" s="180">
        <v>389899</v>
      </c>
      <c r="CD162" s="180">
        <v>4588655</v>
      </c>
      <c r="CE162" s="180"/>
      <c r="CF162" s="180"/>
      <c r="CG162" s="180"/>
      <c r="CH162" s="180"/>
      <c r="CI162" s="180"/>
      <c r="CJ162" s="180"/>
      <c r="CK162" s="180"/>
      <c r="CL162" s="180"/>
      <c r="CM162" s="180"/>
      <c r="CN162" s="180"/>
      <c r="CO162" s="180"/>
      <c r="CP162" s="180"/>
      <c r="CQ162" s="180"/>
      <c r="CR162" s="180"/>
      <c r="CS162" s="180"/>
      <c r="CT162" s="180"/>
      <c r="CU162" s="180"/>
    </row>
    <row r="163" spans="1:99" x14ac:dyDescent="0.3">
      <c r="A163">
        <v>602</v>
      </c>
      <c r="B163" t="s">
        <v>342</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F163">
        <v>0</v>
      </c>
      <c r="AG163">
        <v>0</v>
      </c>
      <c r="AH163">
        <v>0</v>
      </c>
      <c r="AI163">
        <v>0</v>
      </c>
      <c r="AJ163">
        <v>0</v>
      </c>
      <c r="AK163">
        <v>0</v>
      </c>
      <c r="AL163">
        <v>0</v>
      </c>
      <c r="AM163">
        <v>0</v>
      </c>
      <c r="AN163">
        <v>0</v>
      </c>
      <c r="AO163">
        <v>0</v>
      </c>
      <c r="AP163">
        <v>0</v>
      </c>
      <c r="AQ163">
        <v>0</v>
      </c>
      <c r="AR163">
        <v>0</v>
      </c>
      <c r="AS163">
        <v>0</v>
      </c>
      <c r="AT163">
        <v>0</v>
      </c>
      <c r="AU163">
        <v>7943793</v>
      </c>
      <c r="AV163">
        <v>0</v>
      </c>
      <c r="AW163">
        <v>0</v>
      </c>
      <c r="AX163">
        <v>0</v>
      </c>
      <c r="AY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s="180">
        <v>0</v>
      </c>
      <c r="BT163" s="180">
        <v>0</v>
      </c>
      <c r="BU163" s="180">
        <v>0</v>
      </c>
      <c r="BV163" s="180">
        <v>0</v>
      </c>
      <c r="BW163" s="180">
        <v>0</v>
      </c>
      <c r="BX163" s="180">
        <v>0</v>
      </c>
      <c r="BY163" s="180">
        <v>0</v>
      </c>
      <c r="BZ163" s="180">
        <v>0</v>
      </c>
      <c r="CA163" s="180">
        <v>0</v>
      </c>
      <c r="CB163" s="180">
        <v>0</v>
      </c>
      <c r="CC163" s="180">
        <v>0</v>
      </c>
      <c r="CD163" s="180">
        <v>0</v>
      </c>
      <c r="CE163" s="180"/>
      <c r="CF163" s="180"/>
      <c r="CG163" s="180"/>
      <c r="CH163" s="180"/>
      <c r="CI163" s="180"/>
      <c r="CJ163" s="180"/>
      <c r="CK163" s="180"/>
      <c r="CL163" s="180"/>
      <c r="CM163" s="180"/>
      <c r="CN163" s="180"/>
      <c r="CO163" s="180"/>
      <c r="CP163" s="180"/>
      <c r="CQ163" s="180"/>
      <c r="CR163" s="180"/>
      <c r="CS163" s="180"/>
      <c r="CT163" s="180"/>
      <c r="CU163" s="180"/>
    </row>
    <row r="164" spans="1:99" s="551" customFormat="1" x14ac:dyDescent="0.3">
      <c r="A164">
        <v>606</v>
      </c>
      <c r="B164" t="s">
        <v>897</v>
      </c>
      <c r="C164"/>
      <c r="D164"/>
      <c r="E164">
        <v>1</v>
      </c>
      <c r="F164"/>
      <c r="G164"/>
      <c r="H164"/>
      <c r="I164"/>
      <c r="J164"/>
      <c r="K164"/>
      <c r="L164">
        <v>1</v>
      </c>
      <c r="M164">
        <v>1</v>
      </c>
      <c r="N164"/>
      <c r="O164">
        <v>1</v>
      </c>
      <c r="P164"/>
      <c r="Q164">
        <v>1</v>
      </c>
      <c r="R164"/>
      <c r="S164"/>
      <c r="T164">
        <v>1</v>
      </c>
      <c r="U164"/>
      <c r="V164"/>
      <c r="W164"/>
      <c r="X164"/>
      <c r="Y164"/>
      <c r="Z164">
        <v>1</v>
      </c>
      <c r="AA164"/>
      <c r="AB164"/>
      <c r="AC164">
        <v>1</v>
      </c>
      <c r="AD164"/>
      <c r="AE164"/>
      <c r="AF164">
        <v>1</v>
      </c>
      <c r="AG164"/>
      <c r="AH164"/>
      <c r="AI164">
        <v>1</v>
      </c>
      <c r="AJ164"/>
      <c r="AK164">
        <v>1</v>
      </c>
      <c r="AL164">
        <v>1</v>
      </c>
      <c r="AM164">
        <v>1</v>
      </c>
      <c r="AN164">
        <v>1</v>
      </c>
      <c r="AO164"/>
      <c r="AP164">
        <v>1</v>
      </c>
      <c r="AQ164"/>
      <c r="AR164"/>
      <c r="AS164"/>
      <c r="AT164"/>
      <c r="AU164">
        <v>1</v>
      </c>
      <c r="AV164">
        <v>1</v>
      </c>
      <c r="AW164">
        <v>1</v>
      </c>
      <c r="AX164"/>
      <c r="AY164"/>
      <c r="AZ164"/>
      <c r="BA164"/>
      <c r="BB164"/>
      <c r="BC164"/>
      <c r="BD164"/>
      <c r="BE164"/>
      <c r="BF164">
        <v>1</v>
      </c>
      <c r="BG164"/>
      <c r="BH164">
        <v>1</v>
      </c>
      <c r="BI164"/>
      <c r="BJ164"/>
      <c r="BK164"/>
      <c r="BL164">
        <v>1</v>
      </c>
      <c r="BM164">
        <v>1</v>
      </c>
      <c r="BN164">
        <v>1</v>
      </c>
      <c r="BO164">
        <v>1</v>
      </c>
      <c r="BP164">
        <v>1</v>
      </c>
      <c r="BQ164">
        <v>1</v>
      </c>
      <c r="BR164"/>
      <c r="BW164" s="551">
        <v>1</v>
      </c>
      <c r="BX164" s="551">
        <v>1</v>
      </c>
      <c r="BY164" s="551">
        <v>1</v>
      </c>
      <c r="BZ164" s="551">
        <v>1</v>
      </c>
      <c r="CD164" s="551">
        <v>1</v>
      </c>
    </row>
    <row r="165" spans="1:99" x14ac:dyDescent="0.3">
      <c r="A165">
        <v>619</v>
      </c>
      <c r="B165" t="s">
        <v>898</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F165">
        <v>0</v>
      </c>
      <c r="AG165">
        <v>0</v>
      </c>
      <c r="AH165">
        <v>0</v>
      </c>
      <c r="AI165">
        <v>0</v>
      </c>
      <c r="AJ165">
        <v>0</v>
      </c>
      <c r="AK165">
        <v>0</v>
      </c>
      <c r="AL165">
        <v>0</v>
      </c>
      <c r="AM165">
        <v>0</v>
      </c>
      <c r="AN165">
        <v>0</v>
      </c>
      <c r="AO165">
        <v>0</v>
      </c>
      <c r="AP165">
        <v>0</v>
      </c>
      <c r="AQ165">
        <v>0</v>
      </c>
      <c r="AR165">
        <v>0</v>
      </c>
      <c r="AS165">
        <v>0</v>
      </c>
      <c r="AT165">
        <v>0</v>
      </c>
      <c r="AU165">
        <v>21.2</v>
      </c>
      <c r="AV165">
        <v>0</v>
      </c>
      <c r="AW165">
        <v>0</v>
      </c>
      <c r="AX165">
        <v>0</v>
      </c>
      <c r="AY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s="180">
        <v>0</v>
      </c>
      <c r="BT165" s="180">
        <v>0</v>
      </c>
      <c r="BU165" s="180">
        <v>0</v>
      </c>
      <c r="BV165" s="180">
        <v>0</v>
      </c>
      <c r="BW165" s="180">
        <v>0</v>
      </c>
      <c r="BX165" s="180">
        <v>0</v>
      </c>
      <c r="BY165" s="180">
        <v>0</v>
      </c>
      <c r="BZ165" s="180">
        <v>0</v>
      </c>
      <c r="CA165" s="180">
        <v>0</v>
      </c>
      <c r="CB165" s="180">
        <v>0</v>
      </c>
      <c r="CC165" s="180">
        <v>0</v>
      </c>
      <c r="CD165" s="180">
        <v>0</v>
      </c>
      <c r="CE165" s="180"/>
      <c r="CF165" s="180"/>
      <c r="CG165" s="180"/>
      <c r="CH165" s="180"/>
      <c r="CI165" s="180"/>
      <c r="CJ165" s="180"/>
      <c r="CK165" s="180"/>
      <c r="CL165" s="180"/>
      <c r="CM165" s="180"/>
      <c r="CN165" s="180"/>
      <c r="CO165" s="180"/>
      <c r="CP165" s="180"/>
      <c r="CQ165" s="180"/>
      <c r="CR165" s="180"/>
      <c r="CS165" s="180"/>
      <c r="CT165" s="180"/>
      <c r="CU165" s="180"/>
    </row>
    <row r="166" spans="1:99" s="564" customFormat="1" x14ac:dyDescent="0.3">
      <c r="A166">
        <v>620</v>
      </c>
      <c r="B166" t="s">
        <v>899</v>
      </c>
      <c r="C166"/>
      <c r="D166"/>
      <c r="E166">
        <v>2</v>
      </c>
      <c r="F166">
        <v>2</v>
      </c>
      <c r="G166">
        <v>2</v>
      </c>
      <c r="H166">
        <v>1</v>
      </c>
      <c r="I166">
        <v>2</v>
      </c>
      <c r="J166">
        <v>2</v>
      </c>
      <c r="K166">
        <v>2</v>
      </c>
      <c r="L166">
        <v>2</v>
      </c>
      <c r="M166">
        <v>1</v>
      </c>
      <c r="N166">
        <v>2</v>
      </c>
      <c r="O166">
        <v>2</v>
      </c>
      <c r="P166">
        <v>2</v>
      </c>
      <c r="Q166">
        <v>2</v>
      </c>
      <c r="R166">
        <v>2</v>
      </c>
      <c r="S166">
        <v>2</v>
      </c>
      <c r="T166">
        <v>2</v>
      </c>
      <c r="U166">
        <v>2</v>
      </c>
      <c r="V166">
        <v>2</v>
      </c>
      <c r="W166">
        <v>2</v>
      </c>
      <c r="X166">
        <v>2</v>
      </c>
      <c r="Y166">
        <v>2</v>
      </c>
      <c r="Z166">
        <v>1</v>
      </c>
      <c r="AA166">
        <v>2</v>
      </c>
      <c r="AB166">
        <v>2</v>
      </c>
      <c r="AC166">
        <v>2</v>
      </c>
      <c r="AD166">
        <v>2</v>
      </c>
      <c r="AE166"/>
      <c r="AF166">
        <v>1</v>
      </c>
      <c r="AG166">
        <v>2</v>
      </c>
      <c r="AH166">
        <v>2</v>
      </c>
      <c r="AI166">
        <v>2</v>
      </c>
      <c r="AJ166">
        <v>2</v>
      </c>
      <c r="AK166">
        <v>2</v>
      </c>
      <c r="AL166">
        <v>1</v>
      </c>
      <c r="AM166">
        <v>2</v>
      </c>
      <c r="AN166">
        <v>2</v>
      </c>
      <c r="AO166">
        <v>2</v>
      </c>
      <c r="AP166">
        <v>2</v>
      </c>
      <c r="AQ166">
        <v>1</v>
      </c>
      <c r="AR166">
        <v>2</v>
      </c>
      <c r="AS166">
        <v>2</v>
      </c>
      <c r="AT166">
        <v>2</v>
      </c>
      <c r="AU166">
        <v>1</v>
      </c>
      <c r="AV166">
        <v>2</v>
      </c>
      <c r="AW166">
        <v>2</v>
      </c>
      <c r="AX166">
        <v>2</v>
      </c>
      <c r="AY166">
        <v>2</v>
      </c>
      <c r="AZ166"/>
      <c r="BA166">
        <v>2</v>
      </c>
      <c r="BB166">
        <v>2</v>
      </c>
      <c r="BC166">
        <v>2</v>
      </c>
      <c r="BD166">
        <v>2</v>
      </c>
      <c r="BE166">
        <v>2</v>
      </c>
      <c r="BF166">
        <v>1</v>
      </c>
      <c r="BG166">
        <v>2</v>
      </c>
      <c r="BH166">
        <v>2</v>
      </c>
      <c r="BI166">
        <v>2</v>
      </c>
      <c r="BJ166">
        <v>2</v>
      </c>
      <c r="BK166">
        <v>2</v>
      </c>
      <c r="BL166">
        <v>2</v>
      </c>
      <c r="BM166">
        <v>2</v>
      </c>
      <c r="BN166">
        <v>2</v>
      </c>
      <c r="BO166">
        <v>1</v>
      </c>
      <c r="BP166">
        <v>2</v>
      </c>
      <c r="BQ166">
        <v>2</v>
      </c>
      <c r="BR166">
        <v>2</v>
      </c>
      <c r="BS166" s="564">
        <v>2</v>
      </c>
      <c r="BT166" s="564">
        <v>2</v>
      </c>
      <c r="BU166" s="564">
        <v>2</v>
      </c>
      <c r="BV166" s="564">
        <v>2</v>
      </c>
      <c r="BW166" s="564">
        <v>2</v>
      </c>
      <c r="BX166" s="564">
        <v>2</v>
      </c>
      <c r="BY166" s="564">
        <v>1</v>
      </c>
      <c r="BZ166" s="564">
        <v>2</v>
      </c>
      <c r="CA166" s="564">
        <v>2</v>
      </c>
      <c r="CB166" s="564">
        <v>2</v>
      </c>
      <c r="CC166" s="564">
        <v>2</v>
      </c>
      <c r="CD166" s="564">
        <v>2</v>
      </c>
    </row>
    <row r="167" spans="1:99" x14ac:dyDescent="0.3">
      <c r="A167">
        <v>621</v>
      </c>
      <c r="B167" t="s">
        <v>900</v>
      </c>
      <c r="E167">
        <v>0</v>
      </c>
      <c r="F167">
        <v>0</v>
      </c>
      <c r="G167">
        <v>0</v>
      </c>
      <c r="H167">
        <v>0</v>
      </c>
      <c r="I167">
        <v>0</v>
      </c>
      <c r="J167">
        <v>0</v>
      </c>
      <c r="K167">
        <v>0</v>
      </c>
      <c r="L167">
        <v>0</v>
      </c>
      <c r="M167">
        <v>0</v>
      </c>
      <c r="N167">
        <v>0</v>
      </c>
      <c r="O167">
        <v>0</v>
      </c>
      <c r="P167">
        <v>0</v>
      </c>
      <c r="Q167">
        <v>9282858</v>
      </c>
      <c r="R167">
        <v>0</v>
      </c>
      <c r="S167">
        <v>0</v>
      </c>
      <c r="T167">
        <v>0</v>
      </c>
      <c r="U167">
        <v>0</v>
      </c>
      <c r="V167">
        <v>0</v>
      </c>
      <c r="W167">
        <v>0</v>
      </c>
      <c r="X167">
        <v>0</v>
      </c>
      <c r="Y167">
        <v>0</v>
      </c>
      <c r="Z167">
        <v>0</v>
      </c>
      <c r="AA167">
        <v>0</v>
      </c>
      <c r="AB167">
        <v>0</v>
      </c>
      <c r="AC167">
        <v>0</v>
      </c>
      <c r="AD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s="180">
        <v>0</v>
      </c>
      <c r="BT167" s="180">
        <v>0</v>
      </c>
      <c r="BU167" s="180">
        <v>0</v>
      </c>
      <c r="BV167" s="180">
        <v>0</v>
      </c>
      <c r="BW167" s="180">
        <v>0</v>
      </c>
      <c r="BX167" s="180">
        <v>0</v>
      </c>
      <c r="BY167" s="180">
        <v>5457321</v>
      </c>
      <c r="BZ167" s="180">
        <v>0</v>
      </c>
      <c r="CA167" s="180">
        <v>0</v>
      </c>
      <c r="CB167" s="180">
        <v>0</v>
      </c>
      <c r="CC167" s="180">
        <v>0</v>
      </c>
      <c r="CD167" s="180">
        <v>0</v>
      </c>
      <c r="CE167" s="180"/>
      <c r="CF167" s="180"/>
      <c r="CG167" s="180"/>
      <c r="CH167" s="180"/>
      <c r="CI167" s="180"/>
      <c r="CJ167" s="180"/>
      <c r="CK167" s="180"/>
      <c r="CL167" s="180"/>
      <c r="CM167" s="180"/>
      <c r="CN167" s="180"/>
      <c r="CO167" s="180"/>
      <c r="CP167" s="180"/>
      <c r="CQ167" s="180"/>
      <c r="CR167" s="180"/>
      <c r="CS167" s="180"/>
      <c r="CT167" s="180"/>
      <c r="CU167" s="180"/>
    </row>
    <row r="168" spans="1:99" x14ac:dyDescent="0.3">
      <c r="A168">
        <v>622</v>
      </c>
      <c r="B168" t="s">
        <v>901</v>
      </c>
      <c r="E168">
        <v>256953</v>
      </c>
      <c r="F168">
        <v>0</v>
      </c>
      <c r="G168">
        <v>208169</v>
      </c>
      <c r="H168">
        <v>75031</v>
      </c>
      <c r="I168">
        <v>12975</v>
      </c>
      <c r="J168">
        <v>0</v>
      </c>
      <c r="K168">
        <v>0</v>
      </c>
      <c r="L168">
        <v>2356989</v>
      </c>
      <c r="M168">
        <v>63076806</v>
      </c>
      <c r="N168">
        <v>124112</v>
      </c>
      <c r="O168">
        <v>1568317</v>
      </c>
      <c r="P168">
        <v>0</v>
      </c>
      <c r="Q168">
        <v>5663994</v>
      </c>
      <c r="R168">
        <v>0</v>
      </c>
      <c r="S168">
        <v>0</v>
      </c>
      <c r="T168">
        <v>722667</v>
      </c>
      <c r="U168">
        <v>0</v>
      </c>
      <c r="V168">
        <v>1852645</v>
      </c>
      <c r="W168">
        <v>717590</v>
      </c>
      <c r="X168">
        <v>0</v>
      </c>
      <c r="Y168">
        <v>366130</v>
      </c>
      <c r="Z168">
        <v>14150958</v>
      </c>
      <c r="AA168">
        <v>0</v>
      </c>
      <c r="AB168">
        <v>46824</v>
      </c>
      <c r="AC168">
        <v>10264014</v>
      </c>
      <c r="AD168">
        <v>0</v>
      </c>
      <c r="AF168">
        <v>36944584</v>
      </c>
      <c r="AG168">
        <v>0</v>
      </c>
      <c r="AH168">
        <v>36105</v>
      </c>
      <c r="AI168">
        <v>2911541</v>
      </c>
      <c r="AJ168">
        <v>201963</v>
      </c>
      <c r="AK168">
        <v>0</v>
      </c>
      <c r="AL168">
        <v>15537621</v>
      </c>
      <c r="AM168">
        <v>0</v>
      </c>
      <c r="AN168">
        <v>5894164</v>
      </c>
      <c r="AO168">
        <v>0</v>
      </c>
      <c r="AP168">
        <v>2127948</v>
      </c>
      <c r="AQ168">
        <v>747489</v>
      </c>
      <c r="AR168">
        <v>0</v>
      </c>
      <c r="AS168">
        <v>68825</v>
      </c>
      <c r="AT168">
        <v>0</v>
      </c>
      <c r="AU168">
        <v>131886996</v>
      </c>
      <c r="AV168">
        <v>33831644</v>
      </c>
      <c r="AW168">
        <v>481778</v>
      </c>
      <c r="AX168">
        <v>144421</v>
      </c>
      <c r="AY168">
        <v>169807</v>
      </c>
      <c r="BA168">
        <v>107751</v>
      </c>
      <c r="BB168">
        <v>0</v>
      </c>
      <c r="BC168">
        <v>0</v>
      </c>
      <c r="BD168">
        <v>0</v>
      </c>
      <c r="BE168">
        <v>0</v>
      </c>
      <c r="BF168">
        <v>5404488</v>
      </c>
      <c r="BG168">
        <v>0</v>
      </c>
      <c r="BH168">
        <v>4473089</v>
      </c>
      <c r="BI168">
        <v>0</v>
      </c>
      <c r="BJ168">
        <v>0</v>
      </c>
      <c r="BK168">
        <v>0</v>
      </c>
      <c r="BL168">
        <v>7404938</v>
      </c>
      <c r="BM168">
        <v>13111837</v>
      </c>
      <c r="BN168">
        <v>517319</v>
      </c>
      <c r="BO168">
        <v>0</v>
      </c>
      <c r="BP168">
        <v>57998392</v>
      </c>
      <c r="BQ168">
        <v>0</v>
      </c>
      <c r="BR168">
        <v>2579825</v>
      </c>
      <c r="BS168" s="180">
        <v>181090</v>
      </c>
      <c r="BT168" s="180">
        <v>4708900</v>
      </c>
      <c r="BU168" s="180">
        <v>142728</v>
      </c>
      <c r="BV168" s="180">
        <v>0</v>
      </c>
      <c r="BW168" s="180">
        <v>977659</v>
      </c>
      <c r="BX168" s="180">
        <v>1316145</v>
      </c>
      <c r="BY168" s="180">
        <v>17395343</v>
      </c>
      <c r="BZ168" s="180">
        <v>179397</v>
      </c>
      <c r="CA168" s="180">
        <v>5020871</v>
      </c>
      <c r="CB168" s="180">
        <v>0</v>
      </c>
      <c r="CC168" s="180">
        <v>1131106</v>
      </c>
      <c r="CD168" s="180">
        <v>11128281</v>
      </c>
      <c r="CE168" s="180"/>
      <c r="CF168" s="180"/>
      <c r="CG168" s="180"/>
      <c r="CH168" s="180"/>
      <c r="CI168" s="180"/>
      <c r="CJ168" s="180"/>
      <c r="CK168" s="180"/>
      <c r="CL168" s="180"/>
      <c r="CM168" s="180"/>
      <c r="CN168" s="180"/>
      <c r="CO168" s="180"/>
      <c r="CP168" s="180"/>
      <c r="CQ168" s="180"/>
      <c r="CR168" s="180"/>
      <c r="CS168" s="180"/>
      <c r="CT168" s="180"/>
      <c r="CU168" s="180"/>
    </row>
    <row r="169" spans="1:99" s="564" customFormat="1" x14ac:dyDescent="0.3">
      <c r="A169">
        <v>624</v>
      </c>
      <c r="B169" t="s">
        <v>355</v>
      </c>
      <c r="C169"/>
      <c r="D169"/>
      <c r="E169">
        <v>2</v>
      </c>
      <c r="F169">
        <v>1</v>
      </c>
      <c r="G169">
        <v>2</v>
      </c>
      <c r="H169">
        <v>1</v>
      </c>
      <c r="I169">
        <v>1</v>
      </c>
      <c r="J169">
        <v>1</v>
      </c>
      <c r="K169">
        <v>1</v>
      </c>
      <c r="L169">
        <v>1</v>
      </c>
      <c r="M169">
        <v>1</v>
      </c>
      <c r="N169">
        <v>2</v>
      </c>
      <c r="O169">
        <v>2</v>
      </c>
      <c r="P169">
        <v>2</v>
      </c>
      <c r="Q169">
        <v>1</v>
      </c>
      <c r="R169">
        <v>1</v>
      </c>
      <c r="S169">
        <v>0</v>
      </c>
      <c r="T169">
        <v>2</v>
      </c>
      <c r="U169">
        <v>2</v>
      </c>
      <c r="V169">
        <v>1</v>
      </c>
      <c r="W169">
        <v>1</v>
      </c>
      <c r="X169">
        <v>2</v>
      </c>
      <c r="Y169">
        <v>1</v>
      </c>
      <c r="Z169">
        <v>1</v>
      </c>
      <c r="AA169">
        <v>2</v>
      </c>
      <c r="AB169">
        <v>0</v>
      </c>
      <c r="AC169">
        <v>1</v>
      </c>
      <c r="AD169">
        <v>2</v>
      </c>
      <c r="AE169"/>
      <c r="AF169">
        <v>1</v>
      </c>
      <c r="AG169">
        <v>1</v>
      </c>
      <c r="AH169">
        <v>2</v>
      </c>
      <c r="AI169">
        <v>1</v>
      </c>
      <c r="AJ169">
        <v>1</v>
      </c>
      <c r="AK169">
        <v>1</v>
      </c>
      <c r="AL169">
        <v>1</v>
      </c>
      <c r="AM169">
        <v>2</v>
      </c>
      <c r="AN169">
        <v>2</v>
      </c>
      <c r="AO169">
        <v>2</v>
      </c>
      <c r="AP169">
        <v>2</v>
      </c>
      <c r="AQ169">
        <v>1</v>
      </c>
      <c r="AR169">
        <v>1</v>
      </c>
      <c r="AS169">
        <v>1</v>
      </c>
      <c r="AT169">
        <v>2</v>
      </c>
      <c r="AU169">
        <v>1</v>
      </c>
      <c r="AV169">
        <v>1</v>
      </c>
      <c r="AW169">
        <v>1</v>
      </c>
      <c r="AX169">
        <v>1</v>
      </c>
      <c r="AY169">
        <v>1</v>
      </c>
      <c r="AZ169"/>
      <c r="BA169">
        <v>1</v>
      </c>
      <c r="BB169">
        <v>2</v>
      </c>
      <c r="BC169">
        <v>2</v>
      </c>
      <c r="BD169">
        <v>1</v>
      </c>
      <c r="BE169">
        <v>2</v>
      </c>
      <c r="BF169">
        <v>1</v>
      </c>
      <c r="BG169">
        <v>1</v>
      </c>
      <c r="BH169">
        <v>1</v>
      </c>
      <c r="BI169">
        <v>1</v>
      </c>
      <c r="BJ169">
        <v>1</v>
      </c>
      <c r="BK169">
        <v>2</v>
      </c>
      <c r="BL169">
        <v>1</v>
      </c>
      <c r="BM169">
        <v>1</v>
      </c>
      <c r="BN169">
        <v>1</v>
      </c>
      <c r="BO169">
        <v>1</v>
      </c>
      <c r="BP169">
        <v>1</v>
      </c>
      <c r="BQ169">
        <v>1</v>
      </c>
      <c r="BR169">
        <v>1</v>
      </c>
      <c r="BS169" s="564">
        <v>1</v>
      </c>
      <c r="BT169" s="564">
        <v>1</v>
      </c>
      <c r="BU169" s="564">
        <v>1</v>
      </c>
      <c r="BV169" s="564">
        <v>1</v>
      </c>
      <c r="BW169" s="564">
        <v>2</v>
      </c>
      <c r="BX169" s="564">
        <v>1</v>
      </c>
      <c r="BY169" s="564">
        <v>1</v>
      </c>
      <c r="BZ169" s="564">
        <v>2</v>
      </c>
      <c r="CA169" s="564">
        <v>2</v>
      </c>
      <c r="CB169" s="564">
        <v>2</v>
      </c>
      <c r="CC169" s="564">
        <v>2</v>
      </c>
      <c r="CD169" s="564">
        <v>2</v>
      </c>
    </row>
    <row r="170" spans="1:99" s="560" customFormat="1" x14ac:dyDescent="0.3">
      <c r="A170">
        <v>626</v>
      </c>
      <c r="B170" t="s">
        <v>902</v>
      </c>
      <c r="C170"/>
      <c r="D170"/>
      <c r="E170">
        <v>166824</v>
      </c>
      <c r="F170">
        <v>60072</v>
      </c>
      <c r="G170">
        <v>64347</v>
      </c>
      <c r="H170">
        <v>130716</v>
      </c>
      <c r="I170">
        <v>3569</v>
      </c>
      <c r="J170">
        <v>1128</v>
      </c>
      <c r="K170">
        <v>170563</v>
      </c>
      <c r="L170">
        <v>979127</v>
      </c>
      <c r="M170">
        <v>79873021</v>
      </c>
      <c r="N170">
        <v>300518</v>
      </c>
      <c r="O170">
        <v>789418</v>
      </c>
      <c r="P170">
        <v>12814</v>
      </c>
      <c r="Q170">
        <v>6831579</v>
      </c>
      <c r="R170">
        <v>58317</v>
      </c>
      <c r="S170">
        <v>160071</v>
      </c>
      <c r="T170">
        <v>1276378</v>
      </c>
      <c r="U170">
        <v>49200</v>
      </c>
      <c r="V170">
        <v>1497278</v>
      </c>
      <c r="W170">
        <v>50097</v>
      </c>
      <c r="X170">
        <v>25507</v>
      </c>
      <c r="Y170">
        <v>169378</v>
      </c>
      <c r="Z170">
        <v>7771425</v>
      </c>
      <c r="AA170">
        <v>639524</v>
      </c>
      <c r="AB170">
        <v>14615</v>
      </c>
      <c r="AC170">
        <v>7419583</v>
      </c>
      <c r="AD170">
        <v>0</v>
      </c>
      <c r="AE170"/>
      <c r="AF170">
        <v>37428090</v>
      </c>
      <c r="AG170">
        <v>31265</v>
      </c>
      <c r="AH170">
        <v>3362</v>
      </c>
      <c r="AI170">
        <v>1096224</v>
      </c>
      <c r="AJ170">
        <v>68018</v>
      </c>
      <c r="AK170">
        <v>46065</v>
      </c>
      <c r="AL170">
        <v>6896760</v>
      </c>
      <c r="AM170">
        <v>3917</v>
      </c>
      <c r="AN170">
        <v>5488674</v>
      </c>
      <c r="AO170">
        <v>9518</v>
      </c>
      <c r="AP170">
        <v>370178</v>
      </c>
      <c r="AQ170">
        <v>56246</v>
      </c>
      <c r="AR170">
        <v>52386</v>
      </c>
      <c r="AS170">
        <v>248646</v>
      </c>
      <c r="AT170">
        <v>387463</v>
      </c>
      <c r="AU170">
        <v>114082210</v>
      </c>
      <c r="AV170">
        <v>40583702</v>
      </c>
      <c r="AW170">
        <v>949658</v>
      </c>
      <c r="AX170">
        <v>42980</v>
      </c>
      <c r="AY170">
        <v>19415</v>
      </c>
      <c r="AZ170"/>
      <c r="BA170">
        <v>681</v>
      </c>
      <c r="BB170">
        <v>1480943</v>
      </c>
      <c r="BC170">
        <v>6927</v>
      </c>
      <c r="BD170">
        <v>70988</v>
      </c>
      <c r="BE170">
        <v>3414</v>
      </c>
      <c r="BF170">
        <v>7409389</v>
      </c>
      <c r="BG170">
        <v>0</v>
      </c>
      <c r="BH170">
        <v>6171595</v>
      </c>
      <c r="BI170">
        <v>1062125</v>
      </c>
      <c r="BJ170">
        <v>97657</v>
      </c>
      <c r="BK170">
        <v>50410</v>
      </c>
      <c r="BL170">
        <v>3136090</v>
      </c>
      <c r="BM170">
        <v>2525553</v>
      </c>
      <c r="BN170">
        <v>899287</v>
      </c>
      <c r="BO170">
        <v>15714393</v>
      </c>
      <c r="BP170">
        <v>54025985</v>
      </c>
      <c r="BQ170">
        <v>6551</v>
      </c>
      <c r="BR170">
        <v>1270868</v>
      </c>
      <c r="BS170" s="560">
        <v>422685</v>
      </c>
      <c r="BT170" s="560">
        <v>1398355</v>
      </c>
      <c r="BU170" s="560">
        <v>347724</v>
      </c>
      <c r="BV170" s="560">
        <v>123968</v>
      </c>
      <c r="BW170" s="560">
        <v>2303000</v>
      </c>
      <c r="BX170" s="560">
        <v>1255630</v>
      </c>
      <c r="BY170" s="560">
        <v>22830953</v>
      </c>
      <c r="BZ170" s="560">
        <v>208115</v>
      </c>
      <c r="CA170" s="560">
        <v>25152957</v>
      </c>
      <c r="CB170" s="560">
        <v>72983</v>
      </c>
      <c r="CC170" s="560">
        <v>494454</v>
      </c>
      <c r="CD170" s="560">
        <v>27445035</v>
      </c>
    </row>
    <row r="171" spans="1:99" s="558" customFormat="1" x14ac:dyDescent="0.3">
      <c r="A171">
        <v>627</v>
      </c>
      <c r="B171" t="s">
        <v>903</v>
      </c>
      <c r="C171"/>
      <c r="D171"/>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s="558">
        <v>0</v>
      </c>
      <c r="BT171" s="558">
        <v>0</v>
      </c>
      <c r="BU171" s="558">
        <v>0</v>
      </c>
      <c r="BV171" s="558">
        <v>0</v>
      </c>
      <c r="BW171" s="558">
        <v>0</v>
      </c>
      <c r="BX171" s="558">
        <v>0</v>
      </c>
      <c r="BY171" s="558">
        <v>0</v>
      </c>
      <c r="BZ171" s="558">
        <v>0</v>
      </c>
      <c r="CA171" s="558">
        <v>0</v>
      </c>
      <c r="CB171" s="558">
        <v>0</v>
      </c>
      <c r="CC171" s="558">
        <v>0</v>
      </c>
      <c r="CD171" s="558">
        <v>0</v>
      </c>
    </row>
    <row r="172" spans="1:99" s="558" customFormat="1" x14ac:dyDescent="0.3">
      <c r="A172">
        <v>628</v>
      </c>
      <c r="B172" t="s">
        <v>904</v>
      </c>
      <c r="C172"/>
      <c r="D172"/>
      <c r="E172">
        <v>16209</v>
      </c>
      <c r="F172">
        <v>0</v>
      </c>
      <c r="G172">
        <v>14638</v>
      </c>
      <c r="H172">
        <v>0</v>
      </c>
      <c r="I172">
        <v>0</v>
      </c>
      <c r="J172">
        <v>0</v>
      </c>
      <c r="K172">
        <v>0</v>
      </c>
      <c r="L172">
        <v>112000</v>
      </c>
      <c r="M172">
        <v>4878702</v>
      </c>
      <c r="N172">
        <v>18496</v>
      </c>
      <c r="O172">
        <v>83722</v>
      </c>
      <c r="P172">
        <v>0</v>
      </c>
      <c r="Q172">
        <v>140000</v>
      </c>
      <c r="R172">
        <v>0</v>
      </c>
      <c r="S172">
        <v>1006</v>
      </c>
      <c r="T172">
        <v>20000</v>
      </c>
      <c r="U172">
        <v>15169</v>
      </c>
      <c r="V172">
        <v>74758</v>
      </c>
      <c r="W172">
        <v>0</v>
      </c>
      <c r="X172">
        <v>6311</v>
      </c>
      <c r="Y172">
        <v>0</v>
      </c>
      <c r="Z172">
        <v>642824</v>
      </c>
      <c r="AA172">
        <v>0</v>
      </c>
      <c r="AB172">
        <v>0</v>
      </c>
      <c r="AC172">
        <v>0</v>
      </c>
      <c r="AD172">
        <v>0</v>
      </c>
      <c r="AE172"/>
      <c r="AF172">
        <v>3559000</v>
      </c>
      <c r="AG172">
        <v>0</v>
      </c>
      <c r="AH172">
        <v>592</v>
      </c>
      <c r="AI172">
        <v>119913</v>
      </c>
      <c r="AJ172">
        <v>25047</v>
      </c>
      <c r="AK172">
        <v>0</v>
      </c>
      <c r="AL172">
        <v>291400</v>
      </c>
      <c r="AM172">
        <v>0</v>
      </c>
      <c r="AN172">
        <v>289417</v>
      </c>
      <c r="AO172">
        <v>0</v>
      </c>
      <c r="AP172">
        <v>88102</v>
      </c>
      <c r="AQ172">
        <v>0</v>
      </c>
      <c r="AR172">
        <v>0</v>
      </c>
      <c r="AS172">
        <v>0</v>
      </c>
      <c r="AT172">
        <v>4970</v>
      </c>
      <c r="AU172">
        <v>8552585</v>
      </c>
      <c r="AV172">
        <v>2737060</v>
      </c>
      <c r="AW172">
        <v>23000</v>
      </c>
      <c r="AX172">
        <v>22571</v>
      </c>
      <c r="AY172">
        <v>0</v>
      </c>
      <c r="AZ172"/>
      <c r="BA172">
        <v>442</v>
      </c>
      <c r="BB172">
        <v>82375</v>
      </c>
      <c r="BC172">
        <v>0</v>
      </c>
      <c r="BD172">
        <v>0</v>
      </c>
      <c r="BE172">
        <v>0</v>
      </c>
      <c r="BF172">
        <v>460309</v>
      </c>
      <c r="BG172">
        <v>0</v>
      </c>
      <c r="BH172">
        <v>46212</v>
      </c>
      <c r="BI172">
        <v>51055</v>
      </c>
      <c r="BJ172">
        <v>0</v>
      </c>
      <c r="BK172">
        <v>0</v>
      </c>
      <c r="BL172">
        <v>181321</v>
      </c>
      <c r="BM172">
        <v>0</v>
      </c>
      <c r="BN172">
        <v>6720</v>
      </c>
      <c r="BO172">
        <v>1533350</v>
      </c>
      <c r="BP172">
        <v>3964410</v>
      </c>
      <c r="BQ172">
        <v>0</v>
      </c>
      <c r="BR172">
        <v>150000</v>
      </c>
      <c r="BS172" s="558">
        <v>0</v>
      </c>
      <c r="BT172" s="558">
        <v>266000</v>
      </c>
      <c r="BU172" s="558">
        <v>4344</v>
      </c>
      <c r="BV172" s="558">
        <v>0</v>
      </c>
      <c r="BW172" s="558">
        <v>27302</v>
      </c>
      <c r="BX172" s="558">
        <v>21530</v>
      </c>
      <c r="BY172" s="558">
        <v>1160677</v>
      </c>
      <c r="BZ172" s="558">
        <v>0</v>
      </c>
      <c r="CA172" s="558">
        <v>502626</v>
      </c>
      <c r="CB172" s="558">
        <v>0</v>
      </c>
      <c r="CC172" s="558">
        <v>26000</v>
      </c>
      <c r="CD172" s="558">
        <v>1135441</v>
      </c>
    </row>
    <row r="173" spans="1:99" x14ac:dyDescent="0.3">
      <c r="A173">
        <v>629</v>
      </c>
      <c r="B173" t="s">
        <v>905</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BA173">
        <v>0</v>
      </c>
      <c r="BB173">
        <v>0</v>
      </c>
      <c r="BC173">
        <v>0</v>
      </c>
      <c r="BD173">
        <v>0</v>
      </c>
      <c r="BE173">
        <v>0</v>
      </c>
      <c r="BF173">
        <v>0</v>
      </c>
      <c r="BG173">
        <v>0</v>
      </c>
      <c r="BH173">
        <v>0</v>
      </c>
      <c r="BI173">
        <v>0</v>
      </c>
      <c r="BJ173">
        <v>0</v>
      </c>
      <c r="BK173">
        <v>0</v>
      </c>
      <c r="BL173">
        <v>0</v>
      </c>
      <c r="BM173">
        <v>0</v>
      </c>
      <c r="BN173">
        <v>0</v>
      </c>
      <c r="BO173">
        <v>175242</v>
      </c>
      <c r="BP173">
        <v>0</v>
      </c>
      <c r="BQ173">
        <v>0</v>
      </c>
      <c r="BR173">
        <v>0</v>
      </c>
      <c r="BS173" s="180">
        <v>0</v>
      </c>
      <c r="BT173" s="180">
        <v>0</v>
      </c>
      <c r="BU173" s="180">
        <v>0</v>
      </c>
      <c r="BV173" s="180">
        <v>0</v>
      </c>
      <c r="BW173" s="180">
        <v>0</v>
      </c>
      <c r="BX173" s="180">
        <v>0</v>
      </c>
      <c r="BY173" s="180">
        <v>0</v>
      </c>
      <c r="BZ173" s="180">
        <v>0</v>
      </c>
      <c r="CA173" s="180">
        <v>0</v>
      </c>
      <c r="CB173" s="180">
        <v>0</v>
      </c>
      <c r="CC173" s="180">
        <v>0</v>
      </c>
      <c r="CD173" s="180">
        <v>0</v>
      </c>
      <c r="CE173" s="180"/>
      <c r="CF173" s="180"/>
      <c r="CG173" s="180"/>
      <c r="CH173" s="180"/>
      <c r="CI173" s="180"/>
      <c r="CJ173" s="180"/>
      <c r="CK173" s="180"/>
      <c r="CL173" s="180"/>
      <c r="CM173" s="180"/>
      <c r="CN173" s="180"/>
      <c r="CO173" s="180"/>
      <c r="CP173" s="180"/>
      <c r="CQ173" s="180"/>
      <c r="CR173" s="180"/>
      <c r="CS173" s="180"/>
      <c r="CT173" s="180"/>
      <c r="CU173" s="180"/>
    </row>
    <row r="174" spans="1:99" x14ac:dyDescent="0.3">
      <c r="A174">
        <v>630</v>
      </c>
      <c r="B174" t="s">
        <v>906</v>
      </c>
      <c r="E174">
        <v>0</v>
      </c>
      <c r="F174">
        <v>21185</v>
      </c>
      <c r="G174">
        <v>0</v>
      </c>
      <c r="H174">
        <v>0</v>
      </c>
      <c r="I174">
        <v>0</v>
      </c>
      <c r="J174">
        <v>0</v>
      </c>
      <c r="K174">
        <v>0</v>
      </c>
      <c r="L174">
        <v>0</v>
      </c>
      <c r="M174">
        <v>5548026</v>
      </c>
      <c r="N174">
        <v>263044</v>
      </c>
      <c r="O174">
        <v>0</v>
      </c>
      <c r="P174">
        <v>0</v>
      </c>
      <c r="Q174">
        <v>0</v>
      </c>
      <c r="R174">
        <v>56317</v>
      </c>
      <c r="S174">
        <v>138634</v>
      </c>
      <c r="T174">
        <v>0</v>
      </c>
      <c r="U174">
        <v>0</v>
      </c>
      <c r="V174">
        <v>0</v>
      </c>
      <c r="W174">
        <v>0</v>
      </c>
      <c r="X174">
        <v>0</v>
      </c>
      <c r="Y174">
        <v>0</v>
      </c>
      <c r="Z174">
        <v>871876</v>
      </c>
      <c r="AA174">
        <v>0</v>
      </c>
      <c r="AB174">
        <v>0</v>
      </c>
      <c r="AC174">
        <v>0</v>
      </c>
      <c r="AD174">
        <v>0</v>
      </c>
      <c r="AF174">
        <v>960066</v>
      </c>
      <c r="AG174">
        <v>0</v>
      </c>
      <c r="AH174">
        <v>0</v>
      </c>
      <c r="AI174">
        <v>372172</v>
      </c>
      <c r="AJ174">
        <v>0</v>
      </c>
      <c r="AK174">
        <v>45574</v>
      </c>
      <c r="AL174">
        <v>19683</v>
      </c>
      <c r="AM174">
        <v>0</v>
      </c>
      <c r="AN174">
        <v>13575</v>
      </c>
      <c r="AO174">
        <v>0</v>
      </c>
      <c r="AP174">
        <v>0</v>
      </c>
      <c r="AQ174">
        <v>0</v>
      </c>
      <c r="AR174">
        <v>51675</v>
      </c>
      <c r="AS174">
        <v>0</v>
      </c>
      <c r="AT174">
        <v>206197</v>
      </c>
      <c r="AU174">
        <v>4854445</v>
      </c>
      <c r="AV174">
        <v>0</v>
      </c>
      <c r="AW174">
        <v>0</v>
      </c>
      <c r="AX174">
        <v>0</v>
      </c>
      <c r="AY174">
        <v>0</v>
      </c>
      <c r="BA174">
        <v>0</v>
      </c>
      <c r="BB174">
        <v>0</v>
      </c>
      <c r="BC174">
        <v>0</v>
      </c>
      <c r="BD174">
        <v>61283</v>
      </c>
      <c r="BE174">
        <v>0</v>
      </c>
      <c r="BF174">
        <v>4686759</v>
      </c>
      <c r="BG174">
        <v>0</v>
      </c>
      <c r="BH174">
        <v>5425365</v>
      </c>
      <c r="BI174">
        <v>0</v>
      </c>
      <c r="BJ174">
        <v>87168</v>
      </c>
      <c r="BK174">
        <v>0</v>
      </c>
      <c r="BL174">
        <v>0</v>
      </c>
      <c r="BM174">
        <v>0</v>
      </c>
      <c r="BN174">
        <v>0</v>
      </c>
      <c r="BO174">
        <v>106794</v>
      </c>
      <c r="BP174">
        <v>4390677</v>
      </c>
      <c r="BQ174">
        <v>0</v>
      </c>
      <c r="BR174">
        <v>0</v>
      </c>
      <c r="BS174" s="180">
        <v>321838</v>
      </c>
      <c r="BT174" s="180">
        <v>0</v>
      </c>
      <c r="BU174" s="180">
        <v>338614</v>
      </c>
      <c r="BV174" s="180">
        <v>108523</v>
      </c>
      <c r="BW174" s="180">
        <v>0</v>
      </c>
      <c r="BX174" s="180">
        <v>0</v>
      </c>
      <c r="BY174" s="180">
        <v>0</v>
      </c>
      <c r="BZ174" s="180">
        <v>0</v>
      </c>
      <c r="CA174" s="180">
        <v>0</v>
      </c>
      <c r="CB174" s="180">
        <v>0</v>
      </c>
      <c r="CC174" s="180">
        <v>0</v>
      </c>
      <c r="CD174" s="180">
        <v>422054</v>
      </c>
      <c r="CE174" s="180"/>
      <c r="CF174" s="180"/>
      <c r="CG174" s="180"/>
      <c r="CH174" s="180"/>
      <c r="CI174" s="180"/>
      <c r="CJ174" s="180"/>
      <c r="CK174" s="180"/>
      <c r="CL174" s="180"/>
      <c r="CM174" s="180"/>
      <c r="CN174" s="180"/>
      <c r="CO174" s="180"/>
      <c r="CP174" s="180"/>
      <c r="CQ174" s="180"/>
      <c r="CR174" s="180"/>
      <c r="CS174" s="180"/>
      <c r="CT174" s="180"/>
      <c r="CU174" s="180"/>
    </row>
    <row r="175" spans="1:99" x14ac:dyDescent="0.3">
      <c r="A175">
        <v>631</v>
      </c>
      <c r="B175" t="s">
        <v>907</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BA175">
        <v>0</v>
      </c>
      <c r="BB175">
        <v>0</v>
      </c>
      <c r="BC175">
        <v>0</v>
      </c>
      <c r="BD175">
        <v>0</v>
      </c>
      <c r="BE175">
        <v>0</v>
      </c>
      <c r="BF175">
        <v>0</v>
      </c>
      <c r="BG175">
        <v>0</v>
      </c>
      <c r="BH175">
        <v>0</v>
      </c>
      <c r="BI175">
        <v>0</v>
      </c>
      <c r="BJ175">
        <v>0</v>
      </c>
      <c r="BK175">
        <v>0</v>
      </c>
      <c r="BL175">
        <v>0</v>
      </c>
      <c r="BM175">
        <v>0</v>
      </c>
      <c r="BN175">
        <v>0</v>
      </c>
      <c r="BO175">
        <v>852574</v>
      </c>
      <c r="BP175">
        <v>0</v>
      </c>
      <c r="BQ175">
        <v>0</v>
      </c>
      <c r="BR175">
        <v>0</v>
      </c>
      <c r="BS175" s="180">
        <v>0</v>
      </c>
      <c r="BT175" s="180">
        <v>0</v>
      </c>
      <c r="BU175" s="180">
        <v>0</v>
      </c>
      <c r="BV175" s="180">
        <v>0</v>
      </c>
      <c r="BW175" s="180">
        <v>0</v>
      </c>
      <c r="BX175" s="180">
        <v>0</v>
      </c>
      <c r="BY175" s="180">
        <v>0</v>
      </c>
      <c r="BZ175" s="180">
        <v>0</v>
      </c>
      <c r="CA175" s="180">
        <v>0</v>
      </c>
      <c r="CB175" s="180">
        <v>0</v>
      </c>
      <c r="CC175" s="180">
        <v>0</v>
      </c>
      <c r="CD175" s="180">
        <v>0</v>
      </c>
      <c r="CE175" s="180"/>
      <c r="CF175" s="180"/>
      <c r="CG175" s="180"/>
      <c r="CH175" s="180"/>
      <c r="CI175" s="180"/>
      <c r="CJ175" s="180"/>
      <c r="CK175" s="180"/>
      <c r="CL175" s="180"/>
      <c r="CM175" s="180"/>
      <c r="CN175" s="180"/>
      <c r="CO175" s="180"/>
      <c r="CP175" s="180"/>
      <c r="CQ175" s="180"/>
      <c r="CR175" s="180"/>
      <c r="CS175" s="180"/>
      <c r="CT175" s="180"/>
      <c r="CU175" s="180"/>
    </row>
    <row r="176" spans="1:99" x14ac:dyDescent="0.3">
      <c r="A176">
        <v>632</v>
      </c>
      <c r="B176" t="s">
        <v>908</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s="180">
        <v>0</v>
      </c>
      <c r="BT176" s="180">
        <v>0</v>
      </c>
      <c r="BU176" s="180">
        <v>0</v>
      </c>
      <c r="BV176" s="180">
        <v>0</v>
      </c>
      <c r="BW176" s="180">
        <v>0</v>
      </c>
      <c r="BX176" s="180">
        <v>0</v>
      </c>
      <c r="BY176" s="180">
        <v>0</v>
      </c>
      <c r="BZ176" s="180">
        <v>0</v>
      </c>
      <c r="CA176" s="180">
        <v>0</v>
      </c>
      <c r="CB176" s="180">
        <v>0</v>
      </c>
      <c r="CC176" s="180">
        <v>0</v>
      </c>
      <c r="CD176" s="180">
        <v>0</v>
      </c>
      <c r="CE176" s="180"/>
      <c r="CF176" s="180"/>
      <c r="CG176" s="180"/>
      <c r="CH176" s="180"/>
      <c r="CI176" s="180"/>
      <c r="CJ176" s="180"/>
      <c r="CK176" s="180"/>
      <c r="CL176" s="180"/>
      <c r="CM176" s="180"/>
      <c r="CN176" s="180"/>
      <c r="CO176" s="180"/>
      <c r="CP176" s="180"/>
      <c r="CQ176" s="180"/>
      <c r="CR176" s="180"/>
      <c r="CS176" s="180"/>
      <c r="CT176" s="180"/>
      <c r="CU176" s="180"/>
    </row>
    <row r="177" spans="1:99" x14ac:dyDescent="0.3">
      <c r="A177">
        <v>633</v>
      </c>
      <c r="B177" t="s">
        <v>371</v>
      </c>
      <c r="E177">
        <v>350535</v>
      </c>
      <c r="F177">
        <v>0</v>
      </c>
      <c r="G177">
        <v>93158</v>
      </c>
      <c r="H177">
        <v>172381</v>
      </c>
      <c r="I177">
        <v>38026</v>
      </c>
      <c r="J177">
        <v>0</v>
      </c>
      <c r="K177">
        <v>54458</v>
      </c>
      <c r="L177">
        <v>1236571</v>
      </c>
      <c r="M177">
        <v>0</v>
      </c>
      <c r="N177">
        <v>0</v>
      </c>
      <c r="O177">
        <v>0</v>
      </c>
      <c r="P177">
        <v>19619</v>
      </c>
      <c r="Q177">
        <v>659595</v>
      </c>
      <c r="R177">
        <v>0</v>
      </c>
      <c r="S177">
        <v>55276</v>
      </c>
      <c r="T177">
        <v>141636</v>
      </c>
      <c r="U177">
        <v>46087</v>
      </c>
      <c r="V177">
        <v>1188115</v>
      </c>
      <c r="W177">
        <v>0</v>
      </c>
      <c r="X177">
        <v>87983</v>
      </c>
      <c r="Y177">
        <v>77753</v>
      </c>
      <c r="Z177">
        <v>11283311</v>
      </c>
      <c r="AA177">
        <v>0</v>
      </c>
      <c r="AB177">
        <v>75651</v>
      </c>
      <c r="AC177">
        <v>0</v>
      </c>
      <c r="AD177">
        <v>0</v>
      </c>
      <c r="AF177">
        <v>8161276</v>
      </c>
      <c r="AG177">
        <v>0</v>
      </c>
      <c r="AH177">
        <v>22182</v>
      </c>
      <c r="AI177">
        <v>694292</v>
      </c>
      <c r="AJ177">
        <v>0</v>
      </c>
      <c r="AK177">
        <v>985158</v>
      </c>
      <c r="AL177">
        <v>4520588</v>
      </c>
      <c r="AM177">
        <v>448322</v>
      </c>
      <c r="AN177">
        <v>1531520</v>
      </c>
      <c r="AO177">
        <v>0</v>
      </c>
      <c r="AP177">
        <v>1498733</v>
      </c>
      <c r="AQ177">
        <v>0</v>
      </c>
      <c r="AR177">
        <v>0</v>
      </c>
      <c r="AS177">
        <v>659092</v>
      </c>
      <c r="AT177">
        <v>39761</v>
      </c>
      <c r="AU177">
        <v>80948375</v>
      </c>
      <c r="AV177">
        <v>12132739</v>
      </c>
      <c r="AW177">
        <v>281985</v>
      </c>
      <c r="AX177">
        <v>101609</v>
      </c>
      <c r="AY177">
        <v>113517</v>
      </c>
      <c r="BA177">
        <v>436494</v>
      </c>
      <c r="BB177">
        <v>122835</v>
      </c>
      <c r="BC177">
        <v>17338</v>
      </c>
      <c r="BD177">
        <v>0</v>
      </c>
      <c r="BE177">
        <v>20590</v>
      </c>
      <c r="BF177">
        <v>2389591</v>
      </c>
      <c r="BG177">
        <v>0</v>
      </c>
      <c r="BH177">
        <v>932918</v>
      </c>
      <c r="BI177">
        <v>299930</v>
      </c>
      <c r="BJ177">
        <v>0</v>
      </c>
      <c r="BK177">
        <v>0</v>
      </c>
      <c r="BL177">
        <v>2455899</v>
      </c>
      <c r="BM177">
        <v>10771941</v>
      </c>
      <c r="BN177">
        <v>515270</v>
      </c>
      <c r="BO177">
        <v>9278094</v>
      </c>
      <c r="BP177">
        <v>16659765</v>
      </c>
      <c r="BQ177">
        <v>32776</v>
      </c>
      <c r="BR177">
        <v>579882</v>
      </c>
      <c r="BS177" s="180">
        <v>0</v>
      </c>
      <c r="BT177" s="180">
        <v>5086140</v>
      </c>
      <c r="BU177" s="180">
        <v>25633</v>
      </c>
      <c r="BV177" s="180">
        <v>923</v>
      </c>
      <c r="BW177" s="180">
        <v>347131</v>
      </c>
      <c r="BX177" s="180">
        <v>0</v>
      </c>
      <c r="BY177" s="180">
        <v>9779101</v>
      </c>
      <c r="BZ177" s="180">
        <v>468000</v>
      </c>
      <c r="CA177" s="180">
        <v>0</v>
      </c>
      <c r="CB177" s="180">
        <v>56174</v>
      </c>
      <c r="CC177" s="180">
        <v>0</v>
      </c>
      <c r="CD177" s="180">
        <v>0</v>
      </c>
      <c r="CE177" s="180"/>
      <c r="CF177" s="180"/>
      <c r="CG177" s="180"/>
      <c r="CH177" s="180"/>
      <c r="CI177" s="180"/>
      <c r="CJ177" s="180"/>
      <c r="CK177" s="180"/>
      <c r="CL177" s="180"/>
      <c r="CM177" s="180"/>
      <c r="CN177" s="180"/>
      <c r="CO177" s="180"/>
      <c r="CP177" s="180"/>
      <c r="CQ177" s="180"/>
      <c r="CR177" s="180"/>
      <c r="CS177" s="180"/>
      <c r="CT177" s="180"/>
      <c r="CU177" s="180"/>
    </row>
    <row r="178" spans="1:99" x14ac:dyDescent="0.3">
      <c r="A178">
        <v>634</v>
      </c>
      <c r="B178" t="s">
        <v>372</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F178">
        <v>0</v>
      </c>
      <c r="AG178">
        <v>0</v>
      </c>
      <c r="AH178">
        <v>0</v>
      </c>
      <c r="AI178">
        <v>0</v>
      </c>
      <c r="AJ178">
        <v>0</v>
      </c>
      <c r="AK178">
        <v>736000</v>
      </c>
      <c r="AL178">
        <v>0</v>
      </c>
      <c r="AM178">
        <v>0</v>
      </c>
      <c r="AN178">
        <v>0</v>
      </c>
      <c r="AO178">
        <v>0</v>
      </c>
      <c r="AP178">
        <v>0</v>
      </c>
      <c r="AQ178">
        <v>0</v>
      </c>
      <c r="AR178">
        <v>0</v>
      </c>
      <c r="AS178">
        <v>0</v>
      </c>
      <c r="AT178">
        <v>0</v>
      </c>
      <c r="AU178">
        <v>50795451</v>
      </c>
      <c r="AV178">
        <v>0</v>
      </c>
      <c r="AW178">
        <v>0</v>
      </c>
      <c r="AX178">
        <v>0</v>
      </c>
      <c r="AY178">
        <v>0</v>
      </c>
      <c r="BA178">
        <v>21000</v>
      </c>
      <c r="BB178">
        <v>0</v>
      </c>
      <c r="BC178">
        <v>0</v>
      </c>
      <c r="BD178">
        <v>0</v>
      </c>
      <c r="BE178">
        <v>0</v>
      </c>
      <c r="BF178">
        <v>0</v>
      </c>
      <c r="BG178">
        <v>0</v>
      </c>
      <c r="BH178">
        <v>0</v>
      </c>
      <c r="BI178">
        <v>0</v>
      </c>
      <c r="BJ178">
        <v>0</v>
      </c>
      <c r="BK178">
        <v>0</v>
      </c>
      <c r="BL178">
        <v>0</v>
      </c>
      <c r="BM178">
        <v>0</v>
      </c>
      <c r="BN178">
        <v>0</v>
      </c>
      <c r="BO178">
        <v>0</v>
      </c>
      <c r="BP178">
        <v>0</v>
      </c>
      <c r="BQ178">
        <v>0</v>
      </c>
      <c r="BR178">
        <v>0</v>
      </c>
      <c r="BS178" s="180">
        <v>0</v>
      </c>
      <c r="BT178" s="180">
        <v>0</v>
      </c>
      <c r="BU178" s="180">
        <v>0</v>
      </c>
      <c r="BV178" s="180">
        <v>0</v>
      </c>
      <c r="BW178" s="180">
        <v>0</v>
      </c>
      <c r="BX178" s="180">
        <v>0</v>
      </c>
      <c r="BY178" s="180">
        <v>0</v>
      </c>
      <c r="BZ178" s="180">
        <v>0</v>
      </c>
      <c r="CA178" s="180">
        <v>0</v>
      </c>
      <c r="CB178" s="180">
        <v>0</v>
      </c>
      <c r="CC178" s="180">
        <v>0</v>
      </c>
      <c r="CD178" s="180">
        <v>0</v>
      </c>
      <c r="CE178" s="180"/>
      <c r="CF178" s="180"/>
      <c r="CG178" s="180"/>
      <c r="CH178" s="180"/>
      <c r="CI178" s="180"/>
      <c r="CJ178" s="180"/>
      <c r="CK178" s="180"/>
      <c r="CL178" s="180"/>
      <c r="CM178" s="180"/>
      <c r="CN178" s="180"/>
      <c r="CO178" s="180"/>
      <c r="CP178" s="180"/>
      <c r="CQ178" s="180"/>
      <c r="CR178" s="180"/>
      <c r="CS178" s="180"/>
      <c r="CT178" s="180"/>
      <c r="CU178" s="180"/>
    </row>
    <row r="179" spans="1:99" x14ac:dyDescent="0.3">
      <c r="A179">
        <v>635</v>
      </c>
      <c r="B179" t="s">
        <v>373</v>
      </c>
      <c r="E179">
        <v>6320</v>
      </c>
      <c r="F179">
        <v>0</v>
      </c>
      <c r="G179">
        <v>8142</v>
      </c>
      <c r="H179">
        <v>0</v>
      </c>
      <c r="I179">
        <v>0</v>
      </c>
      <c r="J179">
        <v>0</v>
      </c>
      <c r="K179">
        <v>0</v>
      </c>
      <c r="L179">
        <v>6000</v>
      </c>
      <c r="M179">
        <v>0</v>
      </c>
      <c r="N179">
        <v>0</v>
      </c>
      <c r="O179">
        <v>0</v>
      </c>
      <c r="P179">
        <v>0</v>
      </c>
      <c r="Q179">
        <v>25000</v>
      </c>
      <c r="R179">
        <v>0</v>
      </c>
      <c r="S179">
        <v>150</v>
      </c>
      <c r="T179">
        <v>11038</v>
      </c>
      <c r="U179">
        <v>2787</v>
      </c>
      <c r="V179">
        <v>30783</v>
      </c>
      <c r="W179">
        <v>0</v>
      </c>
      <c r="X179">
        <v>0</v>
      </c>
      <c r="Y179">
        <v>0</v>
      </c>
      <c r="Z179">
        <v>68146</v>
      </c>
      <c r="AA179">
        <v>0</v>
      </c>
      <c r="AB179">
        <v>0</v>
      </c>
      <c r="AC179">
        <v>0</v>
      </c>
      <c r="AD179">
        <v>0</v>
      </c>
      <c r="AF179">
        <v>523369</v>
      </c>
      <c r="AG179">
        <v>0</v>
      </c>
      <c r="AH179">
        <v>0</v>
      </c>
      <c r="AI179">
        <v>6363</v>
      </c>
      <c r="AJ179">
        <v>0</v>
      </c>
      <c r="AK179">
        <v>0</v>
      </c>
      <c r="AL179">
        <v>53400</v>
      </c>
      <c r="AM179">
        <v>0</v>
      </c>
      <c r="AN179">
        <v>77791</v>
      </c>
      <c r="AO179">
        <v>0</v>
      </c>
      <c r="AP179">
        <v>36468</v>
      </c>
      <c r="AQ179">
        <v>0</v>
      </c>
      <c r="AR179">
        <v>0</v>
      </c>
      <c r="AS179">
        <v>0</v>
      </c>
      <c r="AT179">
        <v>9163</v>
      </c>
      <c r="AU179">
        <v>1178036</v>
      </c>
      <c r="AV179">
        <v>944768</v>
      </c>
      <c r="AW179">
        <v>7000</v>
      </c>
      <c r="AX179">
        <v>0</v>
      </c>
      <c r="AY179">
        <v>0</v>
      </c>
      <c r="BA179">
        <v>0</v>
      </c>
      <c r="BB179">
        <v>33544</v>
      </c>
      <c r="BC179">
        <v>0</v>
      </c>
      <c r="BD179">
        <v>0</v>
      </c>
      <c r="BE179">
        <v>0</v>
      </c>
      <c r="BF179">
        <v>108056</v>
      </c>
      <c r="BG179">
        <v>0</v>
      </c>
      <c r="BH179">
        <v>5549</v>
      </c>
      <c r="BI179">
        <v>19465</v>
      </c>
      <c r="BJ179">
        <v>0</v>
      </c>
      <c r="BK179">
        <v>0</v>
      </c>
      <c r="BL179">
        <v>35045</v>
      </c>
      <c r="BM179">
        <v>357473</v>
      </c>
      <c r="BN179">
        <v>7990</v>
      </c>
      <c r="BO179">
        <v>183347</v>
      </c>
      <c r="BP179">
        <v>429976</v>
      </c>
      <c r="BQ179">
        <v>0</v>
      </c>
      <c r="BR179">
        <v>30000</v>
      </c>
      <c r="BS179" s="180">
        <v>0</v>
      </c>
      <c r="BT179" s="180">
        <v>202000</v>
      </c>
      <c r="BU179" s="180">
        <v>1387</v>
      </c>
      <c r="BV179" s="180">
        <v>0</v>
      </c>
      <c r="BW179" s="180">
        <v>6304</v>
      </c>
      <c r="BX179" s="180">
        <v>0</v>
      </c>
      <c r="BY179" s="180">
        <v>288227</v>
      </c>
      <c r="BZ179" s="180">
        <v>0</v>
      </c>
      <c r="CA179" s="180">
        <v>0</v>
      </c>
      <c r="CB179" s="180">
        <v>0</v>
      </c>
      <c r="CC179" s="180">
        <v>0</v>
      </c>
      <c r="CD179" s="180">
        <v>0</v>
      </c>
      <c r="CE179" s="180"/>
      <c r="CF179" s="180"/>
      <c r="CG179" s="180"/>
      <c r="CH179" s="180"/>
      <c r="CI179" s="180"/>
      <c r="CJ179" s="180"/>
      <c r="CK179" s="180"/>
      <c r="CL179" s="180"/>
      <c r="CM179" s="180"/>
      <c r="CN179" s="180"/>
      <c r="CO179" s="180"/>
      <c r="CP179" s="180"/>
      <c r="CQ179" s="180"/>
      <c r="CR179" s="180"/>
      <c r="CS179" s="180"/>
      <c r="CT179" s="180"/>
      <c r="CU179" s="180"/>
    </row>
    <row r="180" spans="1:99" x14ac:dyDescent="0.3">
      <c r="A180">
        <v>636</v>
      </c>
      <c r="B180" t="s">
        <v>1582</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F180">
        <v>0</v>
      </c>
      <c r="AG180">
        <v>0</v>
      </c>
      <c r="AH180">
        <v>0</v>
      </c>
      <c r="AI180">
        <v>191198</v>
      </c>
      <c r="AJ180">
        <v>0</v>
      </c>
      <c r="AK180">
        <v>0</v>
      </c>
      <c r="AL180">
        <v>0</v>
      </c>
      <c r="AM180">
        <v>0</v>
      </c>
      <c r="AN180">
        <v>0</v>
      </c>
      <c r="AO180">
        <v>0</v>
      </c>
      <c r="AP180">
        <v>0</v>
      </c>
      <c r="AQ180">
        <v>0</v>
      </c>
      <c r="AR180">
        <v>0</v>
      </c>
      <c r="AS180">
        <v>0</v>
      </c>
      <c r="AT180">
        <v>0</v>
      </c>
      <c r="AU180">
        <v>0</v>
      </c>
      <c r="AV180">
        <v>0</v>
      </c>
      <c r="AW180">
        <v>0</v>
      </c>
      <c r="AX180">
        <v>0</v>
      </c>
      <c r="AY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s="180">
        <v>0</v>
      </c>
      <c r="BT180" s="180">
        <v>0</v>
      </c>
      <c r="BU180" s="180">
        <v>0</v>
      </c>
      <c r="BV180" s="180">
        <v>0</v>
      </c>
      <c r="BW180" s="180">
        <v>0</v>
      </c>
      <c r="BX180" s="180">
        <v>0</v>
      </c>
      <c r="BY180" s="180">
        <v>0</v>
      </c>
      <c r="BZ180" s="180">
        <v>0</v>
      </c>
      <c r="CA180" s="180">
        <v>0</v>
      </c>
      <c r="CB180" s="180">
        <v>0</v>
      </c>
      <c r="CC180" s="180">
        <v>0</v>
      </c>
      <c r="CD180" s="180">
        <v>0</v>
      </c>
      <c r="CE180" s="180"/>
      <c r="CF180" s="180"/>
      <c r="CG180" s="180"/>
      <c r="CH180" s="180"/>
      <c r="CI180" s="180"/>
      <c r="CJ180" s="180"/>
      <c r="CK180" s="180"/>
      <c r="CL180" s="180"/>
      <c r="CM180" s="180"/>
      <c r="CN180" s="180"/>
      <c r="CO180" s="180"/>
      <c r="CP180" s="180"/>
      <c r="CQ180" s="180"/>
      <c r="CR180" s="180"/>
      <c r="CS180" s="180"/>
      <c r="CT180" s="180"/>
      <c r="CU180" s="180"/>
    </row>
    <row r="181" spans="1:99" x14ac:dyDescent="0.3">
      <c r="A181">
        <v>637</v>
      </c>
      <c r="B181" t="s">
        <v>1583</v>
      </c>
      <c r="E181">
        <v>95980</v>
      </c>
      <c r="F181">
        <v>0</v>
      </c>
      <c r="G181">
        <v>42729</v>
      </c>
      <c r="H181">
        <v>0</v>
      </c>
      <c r="I181">
        <v>21317</v>
      </c>
      <c r="J181">
        <v>0</v>
      </c>
      <c r="K181">
        <v>0</v>
      </c>
      <c r="L181">
        <v>87504</v>
      </c>
      <c r="M181">
        <v>0</v>
      </c>
      <c r="N181">
        <v>0</v>
      </c>
      <c r="O181">
        <v>0</v>
      </c>
      <c r="P181">
        <v>700</v>
      </c>
      <c r="Q181">
        <v>123203</v>
      </c>
      <c r="R181">
        <v>0</v>
      </c>
      <c r="S181">
        <v>22120</v>
      </c>
      <c r="T181">
        <v>0</v>
      </c>
      <c r="U181">
        <v>0</v>
      </c>
      <c r="V181">
        <v>44380</v>
      </c>
      <c r="W181">
        <v>0</v>
      </c>
      <c r="X181">
        <v>41204</v>
      </c>
      <c r="Y181">
        <v>22520</v>
      </c>
      <c r="Z181">
        <v>511794</v>
      </c>
      <c r="AA181">
        <v>0</v>
      </c>
      <c r="AB181">
        <v>0</v>
      </c>
      <c r="AC181">
        <v>0</v>
      </c>
      <c r="AD181">
        <v>0</v>
      </c>
      <c r="AF181">
        <v>508839</v>
      </c>
      <c r="AG181">
        <v>0</v>
      </c>
      <c r="AH181">
        <v>19027</v>
      </c>
      <c r="AI181">
        <v>191198</v>
      </c>
      <c r="AJ181">
        <v>0</v>
      </c>
      <c r="AK181">
        <v>7450</v>
      </c>
      <c r="AL181">
        <v>1319197</v>
      </c>
      <c r="AM181">
        <v>0</v>
      </c>
      <c r="AN181">
        <v>0</v>
      </c>
      <c r="AO181">
        <v>0</v>
      </c>
      <c r="AP181">
        <v>120255</v>
      </c>
      <c r="AQ181">
        <v>0</v>
      </c>
      <c r="AR181">
        <v>0</v>
      </c>
      <c r="AS181">
        <v>59873</v>
      </c>
      <c r="AT181">
        <v>24260</v>
      </c>
      <c r="AU181">
        <v>0</v>
      </c>
      <c r="AV181">
        <v>1123775</v>
      </c>
      <c r="AW181">
        <v>230185</v>
      </c>
      <c r="AX181">
        <v>38463</v>
      </c>
      <c r="AY181">
        <v>59228</v>
      </c>
      <c r="BA181">
        <v>50930</v>
      </c>
      <c r="BB181">
        <v>0</v>
      </c>
      <c r="BC181">
        <v>4593</v>
      </c>
      <c r="BD181">
        <v>0</v>
      </c>
      <c r="BE181">
        <v>0</v>
      </c>
      <c r="BF181">
        <v>326942</v>
      </c>
      <c r="BG181">
        <v>0</v>
      </c>
      <c r="BH181">
        <v>407574</v>
      </c>
      <c r="BI181">
        <v>0</v>
      </c>
      <c r="BJ181">
        <v>0</v>
      </c>
      <c r="BK181">
        <v>0</v>
      </c>
      <c r="BL181">
        <v>0</v>
      </c>
      <c r="BM181">
        <v>0</v>
      </c>
      <c r="BN181">
        <v>85</v>
      </c>
      <c r="BO181">
        <v>737835</v>
      </c>
      <c r="BP181">
        <v>453390</v>
      </c>
      <c r="BQ181">
        <v>19325</v>
      </c>
      <c r="BR181">
        <v>840</v>
      </c>
      <c r="BS181" s="180">
        <v>0</v>
      </c>
      <c r="BT181" s="180">
        <v>180728</v>
      </c>
      <c r="BU181" s="180">
        <v>19505</v>
      </c>
      <c r="BV181" s="180">
        <v>350</v>
      </c>
      <c r="BW181" s="180">
        <v>0</v>
      </c>
      <c r="BX181" s="180">
        <v>0</v>
      </c>
      <c r="BY181" s="180">
        <v>0</v>
      </c>
      <c r="BZ181" s="180">
        <v>825</v>
      </c>
      <c r="CA181" s="180">
        <v>0</v>
      </c>
      <c r="CB181" s="180">
        <v>12615</v>
      </c>
      <c r="CC181" s="180">
        <v>0</v>
      </c>
      <c r="CD181" s="180">
        <v>0</v>
      </c>
      <c r="CE181" s="180"/>
      <c r="CF181" s="180"/>
      <c r="CG181" s="180"/>
      <c r="CH181" s="180"/>
      <c r="CI181" s="180"/>
      <c r="CJ181" s="180"/>
      <c r="CK181" s="180"/>
      <c r="CL181" s="180"/>
      <c r="CM181" s="180"/>
      <c r="CN181" s="180"/>
      <c r="CO181" s="180"/>
      <c r="CP181" s="180"/>
      <c r="CQ181" s="180"/>
      <c r="CR181" s="180"/>
      <c r="CS181" s="180"/>
      <c r="CT181" s="180"/>
      <c r="CU181" s="180"/>
    </row>
    <row r="182" spans="1:99" x14ac:dyDescent="0.3">
      <c r="A182">
        <v>638</v>
      </c>
      <c r="B182" t="s">
        <v>1584</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BA182">
        <v>0</v>
      </c>
      <c r="BB182">
        <v>0</v>
      </c>
      <c r="BC182">
        <v>0</v>
      </c>
      <c r="BD182">
        <v>0</v>
      </c>
      <c r="BE182">
        <v>0</v>
      </c>
      <c r="BF182">
        <v>0</v>
      </c>
      <c r="BG182">
        <v>0</v>
      </c>
      <c r="BH182">
        <v>0</v>
      </c>
      <c r="BI182">
        <v>0</v>
      </c>
      <c r="BJ182">
        <v>0</v>
      </c>
      <c r="BK182">
        <v>0</v>
      </c>
      <c r="BL182">
        <v>0</v>
      </c>
      <c r="BM182">
        <v>0</v>
      </c>
      <c r="BN182">
        <v>0</v>
      </c>
      <c r="BO182">
        <v>176918</v>
      </c>
      <c r="BP182">
        <v>0</v>
      </c>
      <c r="BQ182">
        <v>0</v>
      </c>
      <c r="BR182">
        <v>0</v>
      </c>
      <c r="BS182" s="180">
        <v>0</v>
      </c>
      <c r="BT182" s="180">
        <v>0</v>
      </c>
      <c r="BU182" s="180">
        <v>0</v>
      </c>
      <c r="BV182" s="180">
        <v>0</v>
      </c>
      <c r="BW182" s="180">
        <v>0</v>
      </c>
      <c r="BX182" s="180">
        <v>0</v>
      </c>
      <c r="BY182" s="180">
        <v>0</v>
      </c>
      <c r="BZ182" s="180">
        <v>0</v>
      </c>
      <c r="CA182" s="180">
        <v>0</v>
      </c>
      <c r="CB182" s="180">
        <v>0</v>
      </c>
      <c r="CC182" s="180">
        <v>0</v>
      </c>
      <c r="CD182" s="180">
        <v>0</v>
      </c>
      <c r="CE182" s="180"/>
      <c r="CF182" s="180"/>
      <c r="CG182" s="180"/>
      <c r="CH182" s="180"/>
      <c r="CI182" s="180"/>
      <c r="CJ182" s="180"/>
      <c r="CK182" s="180"/>
      <c r="CL182" s="180"/>
      <c r="CM182" s="180"/>
      <c r="CN182" s="180"/>
      <c r="CO182" s="180"/>
      <c r="CP182" s="180"/>
      <c r="CQ182" s="180"/>
      <c r="CR182" s="180"/>
      <c r="CS182" s="180"/>
      <c r="CT182" s="180"/>
      <c r="CU182" s="180"/>
    </row>
    <row r="183" spans="1:99" x14ac:dyDescent="0.3">
      <c r="A183">
        <v>639</v>
      </c>
      <c r="B183" s="551" t="s">
        <v>1585</v>
      </c>
      <c r="E183">
        <v>0</v>
      </c>
      <c r="F183">
        <v>0</v>
      </c>
      <c r="G183">
        <v>0</v>
      </c>
      <c r="H183">
        <v>0</v>
      </c>
      <c r="I183">
        <v>0</v>
      </c>
      <c r="J183">
        <v>0</v>
      </c>
      <c r="K183">
        <v>0</v>
      </c>
      <c r="L183">
        <v>629477</v>
      </c>
      <c r="M183" s="551">
        <v>0</v>
      </c>
      <c r="N183">
        <v>0</v>
      </c>
      <c r="O183">
        <v>0</v>
      </c>
      <c r="P183">
        <v>0</v>
      </c>
      <c r="Q183">
        <v>602242</v>
      </c>
      <c r="R183">
        <v>0</v>
      </c>
      <c r="S183">
        <v>77959</v>
      </c>
      <c r="T183">
        <v>0</v>
      </c>
      <c r="U183">
        <v>0</v>
      </c>
      <c r="V183">
        <v>0</v>
      </c>
      <c r="W183">
        <v>0</v>
      </c>
      <c r="X183">
        <v>0</v>
      </c>
      <c r="Y183">
        <v>198808</v>
      </c>
      <c r="Z183">
        <v>0</v>
      </c>
      <c r="AA183">
        <v>0</v>
      </c>
      <c r="AB183">
        <v>0</v>
      </c>
      <c r="AC183">
        <v>0</v>
      </c>
      <c r="AD183">
        <v>0</v>
      </c>
      <c r="AF183">
        <v>8252436</v>
      </c>
      <c r="AG183">
        <v>0</v>
      </c>
      <c r="AH183">
        <v>0</v>
      </c>
      <c r="AI183">
        <v>0</v>
      </c>
      <c r="AJ183">
        <v>0</v>
      </c>
      <c r="AK183">
        <v>0</v>
      </c>
      <c r="AL183">
        <v>0</v>
      </c>
      <c r="AM183">
        <v>0</v>
      </c>
      <c r="AN183">
        <v>0</v>
      </c>
      <c r="AO183">
        <v>0</v>
      </c>
      <c r="AP183">
        <v>788370</v>
      </c>
      <c r="AQ183">
        <v>0</v>
      </c>
      <c r="AR183">
        <v>0</v>
      </c>
      <c r="AS183">
        <v>0</v>
      </c>
      <c r="AT183">
        <v>0</v>
      </c>
      <c r="AU183">
        <v>0</v>
      </c>
      <c r="AV183">
        <v>23416098</v>
      </c>
      <c r="AW183">
        <v>0</v>
      </c>
      <c r="AX183">
        <v>0</v>
      </c>
      <c r="AY183">
        <v>0</v>
      </c>
      <c r="BA183">
        <v>50410</v>
      </c>
      <c r="BB183">
        <v>0</v>
      </c>
      <c r="BC183">
        <v>0</v>
      </c>
      <c r="BD183">
        <v>0</v>
      </c>
      <c r="BE183">
        <v>0</v>
      </c>
      <c r="BF183">
        <v>0</v>
      </c>
      <c r="BG183">
        <v>0</v>
      </c>
      <c r="BH183">
        <v>0</v>
      </c>
      <c r="BI183">
        <v>0</v>
      </c>
      <c r="BJ183">
        <v>0</v>
      </c>
      <c r="BK183">
        <v>0</v>
      </c>
      <c r="BL183">
        <v>0</v>
      </c>
      <c r="BM183">
        <v>0</v>
      </c>
      <c r="BN183">
        <v>333074</v>
      </c>
      <c r="BO183">
        <v>0</v>
      </c>
      <c r="BP183">
        <v>11405106</v>
      </c>
      <c r="BQ183">
        <v>0</v>
      </c>
      <c r="BR183">
        <v>536617</v>
      </c>
      <c r="BS183" s="180">
        <v>0</v>
      </c>
      <c r="BT183" s="180">
        <v>0</v>
      </c>
      <c r="BU183" s="180">
        <v>111004</v>
      </c>
      <c r="BV183" s="180">
        <v>0</v>
      </c>
      <c r="BW183" s="180">
        <v>0</v>
      </c>
      <c r="BX183" s="180">
        <v>0</v>
      </c>
      <c r="BY183" s="180">
        <v>0</v>
      </c>
      <c r="BZ183" s="180">
        <v>86909</v>
      </c>
      <c r="CA183" s="180">
        <v>0</v>
      </c>
      <c r="CB183" s="180">
        <v>0</v>
      </c>
      <c r="CC183" s="180">
        <v>0</v>
      </c>
      <c r="CD183" s="180">
        <v>2988887</v>
      </c>
      <c r="CE183" s="180"/>
      <c r="CF183" s="180"/>
      <c r="CG183" s="180"/>
      <c r="CH183" s="180"/>
      <c r="CI183" s="180"/>
      <c r="CJ183" s="180"/>
      <c r="CK183" s="180"/>
      <c r="CL183" s="180"/>
      <c r="CM183" s="180"/>
      <c r="CN183" s="180"/>
      <c r="CO183" s="180"/>
      <c r="CP183" s="180"/>
      <c r="CQ183" s="180"/>
      <c r="CR183" s="180"/>
      <c r="CS183" s="180"/>
      <c r="CT183" s="180"/>
      <c r="CU183" s="180"/>
    </row>
    <row r="184" spans="1:99" x14ac:dyDescent="0.3">
      <c r="A184">
        <v>640</v>
      </c>
      <c r="B184" s="551" t="s">
        <v>1586</v>
      </c>
      <c r="E184">
        <v>0</v>
      </c>
      <c r="F184">
        <v>0</v>
      </c>
      <c r="G184">
        <v>0</v>
      </c>
      <c r="H184">
        <v>0</v>
      </c>
      <c r="I184">
        <v>0</v>
      </c>
      <c r="J184">
        <v>0</v>
      </c>
      <c r="K184">
        <v>0</v>
      </c>
      <c r="L184">
        <v>0</v>
      </c>
      <c r="M184" s="551">
        <v>0</v>
      </c>
      <c r="N184">
        <v>0</v>
      </c>
      <c r="O184">
        <v>0</v>
      </c>
      <c r="P184">
        <v>0</v>
      </c>
      <c r="Q184">
        <v>0</v>
      </c>
      <c r="R184">
        <v>0</v>
      </c>
      <c r="S184">
        <v>0</v>
      </c>
      <c r="T184">
        <v>0</v>
      </c>
      <c r="U184">
        <v>0</v>
      </c>
      <c r="V184">
        <v>0</v>
      </c>
      <c r="W184">
        <v>0</v>
      </c>
      <c r="X184">
        <v>0</v>
      </c>
      <c r="Y184">
        <v>0</v>
      </c>
      <c r="Z184">
        <v>0</v>
      </c>
      <c r="AA184">
        <v>0</v>
      </c>
      <c r="AB184">
        <v>0</v>
      </c>
      <c r="AC184">
        <v>0</v>
      </c>
      <c r="AD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s="180">
        <v>0</v>
      </c>
      <c r="BT184" s="180">
        <v>0</v>
      </c>
      <c r="BU184" s="180">
        <v>0</v>
      </c>
      <c r="BV184" s="180">
        <v>0</v>
      </c>
      <c r="BW184" s="180">
        <v>0</v>
      </c>
      <c r="BX184" s="180">
        <v>0</v>
      </c>
      <c r="BY184" s="180">
        <v>0</v>
      </c>
      <c r="BZ184" s="180">
        <v>0</v>
      </c>
      <c r="CA184" s="180">
        <v>0</v>
      </c>
      <c r="CB184" s="180">
        <v>0</v>
      </c>
      <c r="CC184" s="180">
        <v>0</v>
      </c>
      <c r="CD184" s="180">
        <v>0</v>
      </c>
      <c r="CE184" s="180"/>
      <c r="CF184" s="180"/>
      <c r="CG184" s="180"/>
      <c r="CH184" s="180"/>
      <c r="CI184" s="180"/>
      <c r="CJ184" s="180"/>
      <c r="CK184" s="180"/>
      <c r="CL184" s="180"/>
      <c r="CM184" s="180"/>
      <c r="CN184" s="180"/>
      <c r="CO184" s="180"/>
      <c r="CP184" s="180"/>
      <c r="CQ184" s="180"/>
      <c r="CR184" s="180"/>
      <c r="CS184" s="180"/>
      <c r="CT184" s="180"/>
      <c r="CU184" s="180"/>
    </row>
    <row r="185" spans="1:99" x14ac:dyDescent="0.3">
      <c r="A185">
        <v>641</v>
      </c>
      <c r="B185" s="551" t="s">
        <v>1587</v>
      </c>
      <c r="E185">
        <v>0</v>
      </c>
      <c r="F185">
        <v>0</v>
      </c>
      <c r="G185">
        <v>0</v>
      </c>
      <c r="H185">
        <v>0</v>
      </c>
      <c r="I185">
        <v>0</v>
      </c>
      <c r="J185">
        <v>0</v>
      </c>
      <c r="K185">
        <v>0</v>
      </c>
      <c r="L185">
        <v>14000</v>
      </c>
      <c r="M185" s="551">
        <v>0</v>
      </c>
      <c r="N185">
        <v>0</v>
      </c>
      <c r="O185">
        <v>0</v>
      </c>
      <c r="P185">
        <v>0</v>
      </c>
      <c r="Q185">
        <v>20000</v>
      </c>
      <c r="R185">
        <v>0</v>
      </c>
      <c r="S185">
        <v>4179</v>
      </c>
      <c r="T185">
        <v>0</v>
      </c>
      <c r="U185">
        <v>0</v>
      </c>
      <c r="V185">
        <v>0</v>
      </c>
      <c r="W185">
        <v>0</v>
      </c>
      <c r="X185">
        <v>0</v>
      </c>
      <c r="Y185">
        <v>0</v>
      </c>
      <c r="Z185">
        <v>0</v>
      </c>
      <c r="AA185">
        <v>0</v>
      </c>
      <c r="AB185">
        <v>0</v>
      </c>
      <c r="AC185">
        <v>0</v>
      </c>
      <c r="AD185">
        <v>0</v>
      </c>
      <c r="AF185">
        <v>305032</v>
      </c>
      <c r="AG185">
        <v>0</v>
      </c>
      <c r="AH185">
        <v>0</v>
      </c>
      <c r="AI185">
        <v>0</v>
      </c>
      <c r="AJ185">
        <v>0</v>
      </c>
      <c r="AK185">
        <v>0</v>
      </c>
      <c r="AL185">
        <v>0</v>
      </c>
      <c r="AM185">
        <v>0</v>
      </c>
      <c r="AN185">
        <v>0</v>
      </c>
      <c r="AO185">
        <v>0</v>
      </c>
      <c r="AP185">
        <v>27629</v>
      </c>
      <c r="AQ185">
        <v>0</v>
      </c>
      <c r="AR185">
        <v>0</v>
      </c>
      <c r="AS185">
        <v>0</v>
      </c>
      <c r="AT185">
        <v>0</v>
      </c>
      <c r="AU185">
        <v>0</v>
      </c>
      <c r="AV185">
        <v>936312</v>
      </c>
      <c r="AW185">
        <v>0</v>
      </c>
      <c r="AX185">
        <v>0</v>
      </c>
      <c r="AY185">
        <v>0</v>
      </c>
      <c r="BA185">
        <v>0</v>
      </c>
      <c r="BB185">
        <v>0</v>
      </c>
      <c r="BC185">
        <v>0</v>
      </c>
      <c r="BD185">
        <v>0</v>
      </c>
      <c r="BE185">
        <v>0</v>
      </c>
      <c r="BF185">
        <v>0</v>
      </c>
      <c r="BG185">
        <v>0</v>
      </c>
      <c r="BH185">
        <v>0</v>
      </c>
      <c r="BI185">
        <v>0</v>
      </c>
      <c r="BJ185">
        <v>0</v>
      </c>
      <c r="BK185">
        <v>0</v>
      </c>
      <c r="BL185">
        <v>0</v>
      </c>
      <c r="BM185">
        <v>0</v>
      </c>
      <c r="BN185">
        <v>8801</v>
      </c>
      <c r="BO185">
        <v>0</v>
      </c>
      <c r="BP185">
        <v>503208</v>
      </c>
      <c r="BQ185">
        <v>0</v>
      </c>
      <c r="BR185">
        <v>60000</v>
      </c>
      <c r="BS185" s="180">
        <v>0</v>
      </c>
      <c r="BT185" s="180">
        <v>0</v>
      </c>
      <c r="BU185" s="180">
        <v>5998</v>
      </c>
      <c r="BV185" s="180">
        <v>0</v>
      </c>
      <c r="BW185" s="180">
        <v>0</v>
      </c>
      <c r="BX185" s="180">
        <v>0</v>
      </c>
      <c r="BY185" s="180">
        <v>0</v>
      </c>
      <c r="BZ185" s="180">
        <v>0</v>
      </c>
      <c r="CA185" s="180">
        <v>0</v>
      </c>
      <c r="CB185" s="180">
        <v>0</v>
      </c>
      <c r="CC185" s="180">
        <v>0</v>
      </c>
      <c r="CD185" s="180">
        <v>0</v>
      </c>
      <c r="CE185" s="180"/>
      <c r="CF185" s="180"/>
      <c r="CG185" s="180"/>
      <c r="CH185" s="180"/>
      <c r="CI185" s="180"/>
      <c r="CJ185" s="180"/>
      <c r="CK185" s="180"/>
      <c r="CL185" s="180"/>
      <c r="CM185" s="180"/>
      <c r="CN185" s="180"/>
      <c r="CO185" s="180"/>
      <c r="CP185" s="180"/>
      <c r="CQ185" s="180"/>
      <c r="CR185" s="180"/>
      <c r="CS185" s="180"/>
      <c r="CT185" s="180"/>
      <c r="CU185" s="180"/>
    </row>
    <row r="186" spans="1:99" x14ac:dyDescent="0.3">
      <c r="A186">
        <v>642</v>
      </c>
      <c r="B186" s="551" t="s">
        <v>1588</v>
      </c>
      <c r="E186">
        <v>0</v>
      </c>
      <c r="F186">
        <v>0</v>
      </c>
      <c r="G186">
        <v>0</v>
      </c>
      <c r="H186">
        <v>0</v>
      </c>
      <c r="I186">
        <v>0</v>
      </c>
      <c r="J186">
        <v>0</v>
      </c>
      <c r="K186">
        <v>0</v>
      </c>
      <c r="L186">
        <v>0</v>
      </c>
      <c r="M186" s="551">
        <v>0</v>
      </c>
      <c r="N186">
        <v>0</v>
      </c>
      <c r="O186">
        <v>0</v>
      </c>
      <c r="P186">
        <v>0</v>
      </c>
      <c r="Q186">
        <v>0</v>
      </c>
      <c r="R186">
        <v>0</v>
      </c>
      <c r="S186">
        <v>0</v>
      </c>
      <c r="T186">
        <v>0</v>
      </c>
      <c r="U186">
        <v>0</v>
      </c>
      <c r="V186">
        <v>0</v>
      </c>
      <c r="W186">
        <v>0</v>
      </c>
      <c r="X186">
        <v>0</v>
      </c>
      <c r="Y186">
        <v>0</v>
      </c>
      <c r="Z186">
        <v>0</v>
      </c>
      <c r="AA186">
        <v>0</v>
      </c>
      <c r="AB186">
        <v>0</v>
      </c>
      <c r="AC186">
        <v>0</v>
      </c>
      <c r="AD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s="180">
        <v>0</v>
      </c>
      <c r="BT186" s="180">
        <v>0</v>
      </c>
      <c r="BU186" s="180">
        <v>0</v>
      </c>
      <c r="BV186" s="180">
        <v>0</v>
      </c>
      <c r="BW186" s="180">
        <v>0</v>
      </c>
      <c r="BX186" s="180">
        <v>0</v>
      </c>
      <c r="BY186" s="180">
        <v>0</v>
      </c>
      <c r="BZ186" s="180">
        <v>0</v>
      </c>
      <c r="CA186" s="180">
        <v>0</v>
      </c>
      <c r="CB186" s="180">
        <v>0</v>
      </c>
      <c r="CC186" s="180">
        <v>0</v>
      </c>
      <c r="CD186" s="180">
        <v>0</v>
      </c>
      <c r="CE186" s="180"/>
      <c r="CF186" s="180"/>
      <c r="CG186" s="180"/>
      <c r="CH186" s="180"/>
      <c r="CI186" s="180"/>
      <c r="CJ186" s="180"/>
      <c r="CK186" s="180"/>
      <c r="CL186" s="180"/>
      <c r="CM186" s="180"/>
      <c r="CN186" s="180"/>
      <c r="CO186" s="180"/>
      <c r="CP186" s="180"/>
      <c r="CQ186" s="180"/>
      <c r="CR186" s="180"/>
      <c r="CS186" s="180"/>
      <c r="CT186" s="180"/>
      <c r="CU186" s="180"/>
    </row>
    <row r="187" spans="1:99" x14ac:dyDescent="0.3">
      <c r="A187">
        <v>643</v>
      </c>
      <c r="B187" s="551" t="s">
        <v>1589</v>
      </c>
      <c r="E187">
        <v>0</v>
      </c>
      <c r="F187">
        <v>0</v>
      </c>
      <c r="G187">
        <v>0</v>
      </c>
      <c r="H187">
        <v>0</v>
      </c>
      <c r="I187">
        <v>0</v>
      </c>
      <c r="J187">
        <v>0</v>
      </c>
      <c r="K187">
        <v>0</v>
      </c>
      <c r="L187">
        <v>194011</v>
      </c>
      <c r="M187" s="551">
        <v>0</v>
      </c>
      <c r="N187">
        <v>0</v>
      </c>
      <c r="O187">
        <v>0</v>
      </c>
      <c r="P187">
        <v>0</v>
      </c>
      <c r="Q187">
        <v>285448</v>
      </c>
      <c r="R187">
        <v>0</v>
      </c>
      <c r="S187">
        <v>38475</v>
      </c>
      <c r="T187">
        <v>0</v>
      </c>
      <c r="U187">
        <v>0</v>
      </c>
      <c r="V187">
        <v>0</v>
      </c>
      <c r="W187">
        <v>0</v>
      </c>
      <c r="X187">
        <v>0</v>
      </c>
      <c r="Y187">
        <v>91625</v>
      </c>
      <c r="Z187">
        <v>0</v>
      </c>
      <c r="AA187">
        <v>0</v>
      </c>
      <c r="AB187">
        <v>0</v>
      </c>
      <c r="AC187">
        <v>0</v>
      </c>
      <c r="AD187">
        <v>0</v>
      </c>
      <c r="AF187">
        <v>1445222</v>
      </c>
      <c r="AG187">
        <v>0</v>
      </c>
      <c r="AH187">
        <v>0</v>
      </c>
      <c r="AI187">
        <v>0</v>
      </c>
      <c r="AJ187">
        <v>0</v>
      </c>
      <c r="AK187">
        <v>0</v>
      </c>
      <c r="AL187">
        <v>0</v>
      </c>
      <c r="AM187">
        <v>0</v>
      </c>
      <c r="AN187">
        <v>0</v>
      </c>
      <c r="AO187">
        <v>0</v>
      </c>
      <c r="AP187">
        <v>327286</v>
      </c>
      <c r="AQ187">
        <v>0</v>
      </c>
      <c r="AR187">
        <v>0</v>
      </c>
      <c r="AS187">
        <v>0</v>
      </c>
      <c r="AT187">
        <v>0</v>
      </c>
      <c r="AU187">
        <v>0</v>
      </c>
      <c r="AV187">
        <v>4816470</v>
      </c>
      <c r="AW187">
        <v>0</v>
      </c>
      <c r="AX187">
        <v>0</v>
      </c>
      <c r="AY187">
        <v>0</v>
      </c>
      <c r="BA187">
        <v>18687</v>
      </c>
      <c r="BB187">
        <v>0</v>
      </c>
      <c r="BC187">
        <v>0</v>
      </c>
      <c r="BD187">
        <v>0</v>
      </c>
      <c r="BE187">
        <v>0</v>
      </c>
      <c r="BF187">
        <v>0</v>
      </c>
      <c r="BG187">
        <v>0</v>
      </c>
      <c r="BH187">
        <v>0</v>
      </c>
      <c r="BI187">
        <v>0</v>
      </c>
      <c r="BJ187">
        <v>0</v>
      </c>
      <c r="BK187">
        <v>0</v>
      </c>
      <c r="BL187">
        <v>0</v>
      </c>
      <c r="BM187">
        <v>0</v>
      </c>
      <c r="BN187">
        <v>124104</v>
      </c>
      <c r="BO187">
        <v>0</v>
      </c>
      <c r="BP187">
        <v>1292032</v>
      </c>
      <c r="BQ187">
        <v>0</v>
      </c>
      <c r="BR187">
        <v>46726</v>
      </c>
      <c r="BS187" s="180">
        <v>0</v>
      </c>
      <c r="BT187" s="180">
        <v>0</v>
      </c>
      <c r="BU187" s="180">
        <v>66690</v>
      </c>
      <c r="BV187" s="180">
        <v>0</v>
      </c>
      <c r="BW187" s="180">
        <v>0</v>
      </c>
      <c r="BX187" s="180">
        <v>0</v>
      </c>
      <c r="BY187" s="180">
        <v>0</v>
      </c>
      <c r="BZ187" s="180">
        <v>46238</v>
      </c>
      <c r="CA187" s="180">
        <v>0</v>
      </c>
      <c r="CB187" s="180">
        <v>0</v>
      </c>
      <c r="CC187" s="180">
        <v>0</v>
      </c>
      <c r="CD187" s="180">
        <v>329021</v>
      </c>
      <c r="CE187" s="180"/>
      <c r="CF187" s="180"/>
      <c r="CG187" s="180"/>
      <c r="CH187" s="180"/>
      <c r="CI187" s="180"/>
      <c r="CJ187" s="180"/>
      <c r="CK187" s="180"/>
      <c r="CL187" s="180"/>
      <c r="CM187" s="180"/>
      <c r="CN187" s="180"/>
      <c r="CO187" s="180"/>
      <c r="CP187" s="180"/>
      <c r="CQ187" s="180"/>
      <c r="CR187" s="180"/>
      <c r="CS187" s="180"/>
      <c r="CT187" s="180"/>
      <c r="CU187" s="180"/>
    </row>
    <row r="188" spans="1:99" x14ac:dyDescent="0.3">
      <c r="A188">
        <v>644</v>
      </c>
      <c r="B188" s="551" t="s">
        <v>1590</v>
      </c>
      <c r="E188">
        <v>0</v>
      </c>
      <c r="F188">
        <v>0</v>
      </c>
      <c r="G188">
        <v>0</v>
      </c>
      <c r="H188">
        <v>0</v>
      </c>
      <c r="I188">
        <v>0</v>
      </c>
      <c r="J188">
        <v>0</v>
      </c>
      <c r="K188">
        <v>0</v>
      </c>
      <c r="L188">
        <v>0</v>
      </c>
      <c r="M188" s="551">
        <v>0</v>
      </c>
      <c r="N188">
        <v>0</v>
      </c>
      <c r="O188">
        <v>0</v>
      </c>
      <c r="P188">
        <v>0</v>
      </c>
      <c r="Q188">
        <v>0</v>
      </c>
      <c r="R188">
        <v>0</v>
      </c>
      <c r="S188">
        <v>0</v>
      </c>
      <c r="T188">
        <v>0</v>
      </c>
      <c r="U188">
        <v>0</v>
      </c>
      <c r="V188">
        <v>0</v>
      </c>
      <c r="W188">
        <v>0</v>
      </c>
      <c r="X188">
        <v>0</v>
      </c>
      <c r="Y188">
        <v>0</v>
      </c>
      <c r="Z188">
        <v>0</v>
      </c>
      <c r="AA188">
        <v>0</v>
      </c>
      <c r="AB188">
        <v>0</v>
      </c>
      <c r="AC188">
        <v>0</v>
      </c>
      <c r="AD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s="180">
        <v>0</v>
      </c>
      <c r="BT188" s="180">
        <v>0</v>
      </c>
      <c r="BU188" s="180">
        <v>0</v>
      </c>
      <c r="BV188" s="180">
        <v>0</v>
      </c>
      <c r="BW188" s="180">
        <v>0</v>
      </c>
      <c r="BX188" s="180">
        <v>0</v>
      </c>
      <c r="BY188" s="180">
        <v>0</v>
      </c>
      <c r="BZ188" s="180">
        <v>0</v>
      </c>
      <c r="CA188" s="180">
        <v>0</v>
      </c>
      <c r="CB188" s="180">
        <v>0</v>
      </c>
      <c r="CC188" s="180">
        <v>0</v>
      </c>
      <c r="CD188" s="180">
        <v>0</v>
      </c>
      <c r="CE188" s="180"/>
      <c r="CF188" s="180"/>
      <c r="CG188" s="180"/>
      <c r="CH188" s="180"/>
      <c r="CI188" s="180"/>
      <c r="CJ188" s="180"/>
      <c r="CK188" s="180"/>
      <c r="CL188" s="180"/>
      <c r="CM188" s="180"/>
      <c r="CN188" s="180"/>
      <c r="CO188" s="180"/>
      <c r="CP188" s="180"/>
      <c r="CQ188" s="180"/>
      <c r="CR188" s="180"/>
      <c r="CS188" s="180"/>
      <c r="CT188" s="180"/>
      <c r="CU188" s="180"/>
    </row>
    <row r="189" spans="1:99" s="558" customFormat="1" x14ac:dyDescent="0.3">
      <c r="A189">
        <v>645</v>
      </c>
      <c r="B189" t="s">
        <v>384</v>
      </c>
      <c r="C189"/>
      <c r="D189"/>
      <c r="E189">
        <v>19550</v>
      </c>
      <c r="F189">
        <v>0</v>
      </c>
      <c r="G189">
        <v>0</v>
      </c>
      <c r="H189">
        <v>54700</v>
      </c>
      <c r="I189">
        <v>0</v>
      </c>
      <c r="J189">
        <v>0</v>
      </c>
      <c r="K189">
        <v>0</v>
      </c>
      <c r="L189">
        <v>721136</v>
      </c>
      <c r="M189">
        <v>15976663</v>
      </c>
      <c r="N189">
        <v>0</v>
      </c>
      <c r="O189">
        <v>2985430</v>
      </c>
      <c r="P189">
        <v>0</v>
      </c>
      <c r="Q189">
        <v>1051124</v>
      </c>
      <c r="R189">
        <v>0</v>
      </c>
      <c r="S189">
        <v>0</v>
      </c>
      <c r="T189">
        <v>0</v>
      </c>
      <c r="U189">
        <v>651880</v>
      </c>
      <c r="V189">
        <v>0</v>
      </c>
      <c r="W189">
        <v>0</v>
      </c>
      <c r="X189">
        <v>0</v>
      </c>
      <c r="Y189">
        <v>0</v>
      </c>
      <c r="Z189">
        <v>5101895</v>
      </c>
      <c r="AA189">
        <v>0</v>
      </c>
      <c r="AB189">
        <v>28375</v>
      </c>
      <c r="AC189">
        <v>3450998</v>
      </c>
      <c r="AD189">
        <v>218329</v>
      </c>
      <c r="AE189"/>
      <c r="AF189">
        <v>74827</v>
      </c>
      <c r="AG189">
        <v>233412</v>
      </c>
      <c r="AH189">
        <v>20000</v>
      </c>
      <c r="AI189">
        <v>1060923</v>
      </c>
      <c r="AJ189">
        <v>122140</v>
      </c>
      <c r="AK189">
        <v>0</v>
      </c>
      <c r="AL189">
        <v>1500000</v>
      </c>
      <c r="AM189">
        <v>0</v>
      </c>
      <c r="AN189">
        <v>1246245</v>
      </c>
      <c r="AO189">
        <v>0</v>
      </c>
      <c r="AP189">
        <v>641365</v>
      </c>
      <c r="AQ189">
        <v>0</v>
      </c>
      <c r="AR189">
        <v>0</v>
      </c>
      <c r="AS189">
        <v>0</v>
      </c>
      <c r="AT189">
        <v>0</v>
      </c>
      <c r="AU189">
        <v>41794624</v>
      </c>
      <c r="AV189">
        <v>500000</v>
      </c>
      <c r="AW189">
        <v>0</v>
      </c>
      <c r="AX189">
        <v>17282</v>
      </c>
      <c r="AY189">
        <v>0</v>
      </c>
      <c r="AZ189"/>
      <c r="BA189">
        <v>0</v>
      </c>
      <c r="BB189">
        <v>1525042</v>
      </c>
      <c r="BC189">
        <v>0</v>
      </c>
      <c r="BD189">
        <v>0</v>
      </c>
      <c r="BE189">
        <v>15961</v>
      </c>
      <c r="BF189">
        <v>0</v>
      </c>
      <c r="BG189">
        <v>0</v>
      </c>
      <c r="BH189">
        <v>568964</v>
      </c>
      <c r="BI189">
        <v>0</v>
      </c>
      <c r="BJ189">
        <v>0</v>
      </c>
      <c r="BK189">
        <v>0</v>
      </c>
      <c r="BL189">
        <v>2789400</v>
      </c>
      <c r="BM189">
        <v>2614518</v>
      </c>
      <c r="BN189">
        <v>0</v>
      </c>
      <c r="BO189">
        <v>1183000</v>
      </c>
      <c r="BP189">
        <v>1167495</v>
      </c>
      <c r="BQ189">
        <v>0</v>
      </c>
      <c r="BR189">
        <v>2203020</v>
      </c>
      <c r="BS189" s="558">
        <v>207196</v>
      </c>
      <c r="BT189" s="558">
        <v>1606221</v>
      </c>
      <c r="BU189" s="558">
        <v>0</v>
      </c>
      <c r="BV189" s="558">
        <v>83619</v>
      </c>
      <c r="BW189" s="558">
        <v>431940</v>
      </c>
      <c r="BX189" s="558">
        <v>0</v>
      </c>
      <c r="BY189" s="558">
        <v>0</v>
      </c>
      <c r="BZ189" s="558">
        <v>75000</v>
      </c>
      <c r="CA189" s="558">
        <v>684975</v>
      </c>
      <c r="CB189" s="558">
        <v>18965</v>
      </c>
      <c r="CC189" s="558">
        <v>86484</v>
      </c>
      <c r="CD189" s="558">
        <v>1036279</v>
      </c>
    </row>
    <row r="190" spans="1:99" s="558" customFormat="1" x14ac:dyDescent="0.3">
      <c r="A190">
        <v>646</v>
      </c>
      <c r="B190" t="s">
        <v>359</v>
      </c>
      <c r="C190"/>
      <c r="D190"/>
      <c r="E190">
        <v>797388</v>
      </c>
      <c r="F190">
        <v>597920</v>
      </c>
      <c r="G190">
        <v>1155372</v>
      </c>
      <c r="H190">
        <v>1140688</v>
      </c>
      <c r="I190">
        <v>318852</v>
      </c>
      <c r="J190">
        <v>103109</v>
      </c>
      <c r="K190">
        <v>411154</v>
      </c>
      <c r="L190">
        <v>1477745</v>
      </c>
      <c r="M190">
        <v>28203474</v>
      </c>
      <c r="N190">
        <v>3416877</v>
      </c>
      <c r="O190">
        <v>6308923</v>
      </c>
      <c r="P190">
        <v>140046</v>
      </c>
      <c r="Q190">
        <v>5462804</v>
      </c>
      <c r="R190">
        <v>187616</v>
      </c>
      <c r="S190">
        <v>626259</v>
      </c>
      <c r="T190">
        <v>1716229</v>
      </c>
      <c r="U190">
        <v>753851</v>
      </c>
      <c r="V190">
        <v>6844060</v>
      </c>
      <c r="W190">
        <v>1239316</v>
      </c>
      <c r="X190">
        <v>721872</v>
      </c>
      <c r="Y190">
        <v>108807</v>
      </c>
      <c r="Z190">
        <v>32589055</v>
      </c>
      <c r="AA190">
        <v>4818379</v>
      </c>
      <c r="AB190">
        <v>1364333</v>
      </c>
      <c r="AC190">
        <v>16458656</v>
      </c>
      <c r="AD190">
        <v>610287</v>
      </c>
      <c r="AE190"/>
      <c r="AF190">
        <v>31257046</v>
      </c>
      <c r="AG190">
        <v>940665</v>
      </c>
      <c r="AH190">
        <v>316339</v>
      </c>
      <c r="AI190">
        <v>1555936</v>
      </c>
      <c r="AJ190">
        <v>1173564</v>
      </c>
      <c r="AK190">
        <v>91643</v>
      </c>
      <c r="AL190">
        <v>16057787</v>
      </c>
      <c r="AM190">
        <v>694854</v>
      </c>
      <c r="AN190">
        <v>12108538</v>
      </c>
      <c r="AO190">
        <v>162585</v>
      </c>
      <c r="AP190">
        <v>5597157</v>
      </c>
      <c r="AQ190">
        <v>3068948</v>
      </c>
      <c r="AR190">
        <v>275111</v>
      </c>
      <c r="AS190">
        <v>2234632</v>
      </c>
      <c r="AT190">
        <v>1135771</v>
      </c>
      <c r="AU190">
        <v>36349182</v>
      </c>
      <c r="AV190">
        <v>20999836</v>
      </c>
      <c r="AW190">
        <v>1564372</v>
      </c>
      <c r="AX190">
        <v>222504</v>
      </c>
      <c r="AY190">
        <v>473622</v>
      </c>
      <c r="AZ190"/>
      <c r="BA190">
        <v>761500</v>
      </c>
      <c r="BB190">
        <v>2661426</v>
      </c>
      <c r="BC190">
        <v>1389621</v>
      </c>
      <c r="BD190">
        <v>260767</v>
      </c>
      <c r="BE190">
        <v>145022</v>
      </c>
      <c r="BF190">
        <v>6402144</v>
      </c>
      <c r="BG190">
        <v>73261</v>
      </c>
      <c r="BH190">
        <v>12604519</v>
      </c>
      <c r="BI190">
        <v>924395</v>
      </c>
      <c r="BJ190">
        <v>582916</v>
      </c>
      <c r="BK190">
        <v>527380</v>
      </c>
      <c r="BL190">
        <v>6855566</v>
      </c>
      <c r="BM190">
        <v>4615551</v>
      </c>
      <c r="BN190">
        <v>1276132</v>
      </c>
      <c r="BO190">
        <v>24225924</v>
      </c>
      <c r="BP190">
        <v>25097868</v>
      </c>
      <c r="BQ190">
        <v>340198</v>
      </c>
      <c r="BR190">
        <v>1808164</v>
      </c>
      <c r="BS190" s="558">
        <v>2002704</v>
      </c>
      <c r="BT190" s="558">
        <v>9605870</v>
      </c>
      <c r="BU190" s="558">
        <v>284426</v>
      </c>
      <c r="BV190" s="558">
        <v>520659</v>
      </c>
      <c r="BW190" s="558">
        <v>4727031</v>
      </c>
      <c r="BX190" s="558">
        <v>2212891</v>
      </c>
      <c r="BY190" s="558">
        <v>10316667</v>
      </c>
      <c r="BZ190" s="558">
        <v>183814</v>
      </c>
      <c r="CA190" s="558">
        <v>5093137</v>
      </c>
      <c r="CB190" s="558">
        <v>972109</v>
      </c>
      <c r="CC190" s="558">
        <v>2365154</v>
      </c>
      <c r="CD190" s="558">
        <v>23357502</v>
      </c>
    </row>
    <row r="191" spans="1:99" x14ac:dyDescent="0.3">
      <c r="A191">
        <v>647</v>
      </c>
      <c r="B191" t="s">
        <v>909</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1793355</v>
      </c>
      <c r="AA191">
        <v>0</v>
      </c>
      <c r="AB191">
        <v>0</v>
      </c>
      <c r="AC191">
        <v>0</v>
      </c>
      <c r="AD191">
        <v>0</v>
      </c>
      <c r="AF191">
        <v>0</v>
      </c>
      <c r="AG191">
        <v>0</v>
      </c>
      <c r="AH191">
        <v>0</v>
      </c>
      <c r="AI191">
        <v>0</v>
      </c>
      <c r="AJ191">
        <v>0</v>
      </c>
      <c r="AK191">
        <v>0</v>
      </c>
      <c r="AL191">
        <v>0</v>
      </c>
      <c r="AM191">
        <v>0</v>
      </c>
      <c r="AN191">
        <v>0</v>
      </c>
      <c r="AO191">
        <v>0</v>
      </c>
      <c r="AP191">
        <v>0</v>
      </c>
      <c r="AQ191">
        <v>0</v>
      </c>
      <c r="AR191">
        <v>0</v>
      </c>
      <c r="AS191">
        <v>0</v>
      </c>
      <c r="AT191">
        <v>0</v>
      </c>
      <c r="AU191">
        <v>13811348</v>
      </c>
      <c r="AV191">
        <v>1341982</v>
      </c>
      <c r="AW191">
        <v>0</v>
      </c>
      <c r="AX191">
        <v>0</v>
      </c>
      <c r="AY191">
        <v>0</v>
      </c>
      <c r="BA191">
        <v>0</v>
      </c>
      <c r="BB191">
        <v>0</v>
      </c>
      <c r="BC191">
        <v>0</v>
      </c>
      <c r="BD191">
        <v>0</v>
      </c>
      <c r="BE191">
        <v>0</v>
      </c>
      <c r="BF191">
        <v>0</v>
      </c>
      <c r="BG191">
        <v>0</v>
      </c>
      <c r="BH191">
        <v>0</v>
      </c>
      <c r="BI191">
        <v>0</v>
      </c>
      <c r="BJ191">
        <v>0</v>
      </c>
      <c r="BK191">
        <v>0</v>
      </c>
      <c r="BL191">
        <v>0</v>
      </c>
      <c r="BM191">
        <v>0</v>
      </c>
      <c r="BN191">
        <v>0</v>
      </c>
      <c r="BO191">
        <v>0</v>
      </c>
      <c r="BP191">
        <v>11306479</v>
      </c>
      <c r="BQ191">
        <v>0</v>
      </c>
      <c r="BR191">
        <v>0</v>
      </c>
      <c r="BS191" s="180">
        <v>0</v>
      </c>
      <c r="BT191" s="180">
        <v>0</v>
      </c>
      <c r="BU191" s="180">
        <v>0</v>
      </c>
      <c r="BV191" s="180">
        <v>0</v>
      </c>
      <c r="BW191" s="180">
        <v>0</v>
      </c>
      <c r="BX191" s="180">
        <v>0</v>
      </c>
      <c r="BY191" s="180">
        <v>11892463</v>
      </c>
      <c r="BZ191" s="180">
        <v>0</v>
      </c>
      <c r="CA191" s="180">
        <v>0</v>
      </c>
      <c r="CB191" s="180">
        <v>0</v>
      </c>
      <c r="CC191" s="180">
        <v>0</v>
      </c>
      <c r="CD191" s="180">
        <v>0</v>
      </c>
      <c r="CE191" s="180"/>
      <c r="CF191" s="180"/>
      <c r="CG191" s="180"/>
      <c r="CH191" s="180"/>
      <c r="CI191" s="180"/>
      <c r="CJ191" s="180"/>
      <c r="CK191" s="180"/>
      <c r="CL191" s="180"/>
      <c r="CM191" s="180"/>
      <c r="CN191" s="180"/>
      <c r="CO191" s="180"/>
      <c r="CP191" s="180"/>
      <c r="CQ191" s="180"/>
      <c r="CR191" s="180"/>
      <c r="CS191" s="180"/>
      <c r="CT191" s="180"/>
      <c r="CU191" s="180"/>
    </row>
    <row r="192" spans="1:99" x14ac:dyDescent="0.3">
      <c r="A192">
        <v>648</v>
      </c>
      <c r="B192" t="s">
        <v>597</v>
      </c>
      <c r="E192">
        <v>0.73</v>
      </c>
      <c r="F192">
        <v>0.02</v>
      </c>
      <c r="G192">
        <v>0</v>
      </c>
      <c r="H192">
        <v>0.41</v>
      </c>
      <c r="I192">
        <v>0.22</v>
      </c>
      <c r="J192">
        <v>0.48</v>
      </c>
      <c r="K192">
        <v>0.05</v>
      </c>
      <c r="L192">
        <v>0.49</v>
      </c>
      <c r="M192">
        <v>0.4995</v>
      </c>
      <c r="N192">
        <v>0.13</v>
      </c>
      <c r="O192">
        <v>0.34</v>
      </c>
      <c r="P192">
        <v>0.55400000000000005</v>
      </c>
      <c r="Q192">
        <v>0.59</v>
      </c>
      <c r="R192">
        <v>0.15</v>
      </c>
      <c r="S192">
        <v>0.58750000000000002</v>
      </c>
      <c r="T192">
        <v>0</v>
      </c>
      <c r="U192">
        <v>0.28999999999999998</v>
      </c>
      <c r="V192">
        <v>0.35</v>
      </c>
      <c r="W192">
        <v>0.71</v>
      </c>
      <c r="X192">
        <v>0.33500000000000002</v>
      </c>
      <c r="Y192">
        <v>0.68</v>
      </c>
      <c r="Z192">
        <v>0.42499999999999999</v>
      </c>
      <c r="AA192">
        <v>0</v>
      </c>
      <c r="AB192">
        <v>0.72</v>
      </c>
      <c r="AC192">
        <v>0.55210000000000004</v>
      </c>
      <c r="AD192">
        <v>0.6</v>
      </c>
      <c r="AF192">
        <v>0.52</v>
      </c>
      <c r="AG192">
        <v>0</v>
      </c>
      <c r="AH192">
        <v>0.68</v>
      </c>
      <c r="AI192">
        <v>0.53</v>
      </c>
      <c r="AJ192">
        <v>0.34</v>
      </c>
      <c r="AK192">
        <v>0.24</v>
      </c>
      <c r="AL192">
        <v>0.68</v>
      </c>
      <c r="AM192">
        <v>0.22</v>
      </c>
      <c r="AN192">
        <v>0</v>
      </c>
      <c r="AO192">
        <v>0</v>
      </c>
      <c r="AP192">
        <v>0.45</v>
      </c>
      <c r="AQ192">
        <v>0</v>
      </c>
      <c r="AR192">
        <v>0.05</v>
      </c>
      <c r="AS192">
        <v>0.36</v>
      </c>
      <c r="AT192">
        <v>0.3</v>
      </c>
      <c r="AU192">
        <v>0.63249999999999995</v>
      </c>
      <c r="AV192">
        <v>0.48949999999999999</v>
      </c>
      <c r="AW192">
        <v>0.63</v>
      </c>
      <c r="AX192">
        <v>0.48</v>
      </c>
      <c r="AY192">
        <v>0.45</v>
      </c>
      <c r="BA192">
        <v>0.7</v>
      </c>
      <c r="BB192">
        <v>0.76</v>
      </c>
      <c r="BC192">
        <v>0.14000000000000001</v>
      </c>
      <c r="BD192">
        <v>0.19</v>
      </c>
      <c r="BE192">
        <v>0.35</v>
      </c>
      <c r="BF192">
        <v>0</v>
      </c>
      <c r="BG192">
        <v>0.25</v>
      </c>
      <c r="BH192">
        <v>0.59</v>
      </c>
      <c r="BI192">
        <v>0.63</v>
      </c>
      <c r="BJ192">
        <v>0.26500000000000001</v>
      </c>
      <c r="BK192">
        <v>0</v>
      </c>
      <c r="BL192">
        <v>0.71199999999999997</v>
      </c>
      <c r="BM192">
        <v>0.52</v>
      </c>
      <c r="BN192">
        <v>0.65</v>
      </c>
      <c r="BO192">
        <v>0</v>
      </c>
      <c r="BP192">
        <v>0.61750000000000005</v>
      </c>
      <c r="BQ192">
        <v>0.38</v>
      </c>
      <c r="BR192">
        <v>0.157</v>
      </c>
      <c r="BS192" s="180">
        <v>0.15</v>
      </c>
      <c r="BT192" s="180">
        <v>0.58699999999999997</v>
      </c>
      <c r="BU192" s="180">
        <v>0.72</v>
      </c>
      <c r="BV192" s="180">
        <v>0.4</v>
      </c>
      <c r="BW192" s="180">
        <v>0</v>
      </c>
      <c r="BX192" s="180">
        <v>0.35</v>
      </c>
      <c r="BY192" s="180">
        <v>0.42159999999999997</v>
      </c>
      <c r="BZ192" s="180">
        <v>0.46500000000000002</v>
      </c>
      <c r="CA192" s="180">
        <v>0.46</v>
      </c>
      <c r="CB192" s="180">
        <v>0.48</v>
      </c>
      <c r="CC192" s="180">
        <v>0.43</v>
      </c>
      <c r="CD192" s="180">
        <v>0.24</v>
      </c>
      <c r="CE192" s="180"/>
      <c r="CF192" s="180"/>
      <c r="CG192" s="180"/>
      <c r="CH192" s="180"/>
      <c r="CI192" s="180"/>
      <c r="CJ192" s="180"/>
      <c r="CK192" s="180"/>
      <c r="CL192" s="180"/>
      <c r="CM192" s="180"/>
      <c r="CN192" s="180"/>
      <c r="CO192" s="180"/>
      <c r="CP192" s="180"/>
      <c r="CQ192" s="180"/>
      <c r="CR192" s="180"/>
      <c r="CS192" s="180"/>
      <c r="CT192" s="180"/>
      <c r="CU192" s="180"/>
    </row>
    <row r="193" spans="1:99" x14ac:dyDescent="0.3">
      <c r="A193">
        <v>654</v>
      </c>
      <c r="B193" t="s">
        <v>413</v>
      </c>
      <c r="E193">
        <v>501251</v>
      </c>
      <c r="F193">
        <v>0</v>
      </c>
      <c r="G193">
        <v>1587003</v>
      </c>
      <c r="H193">
        <v>909447</v>
      </c>
      <c r="I193">
        <v>155709</v>
      </c>
      <c r="J193">
        <v>0</v>
      </c>
      <c r="K193">
        <v>333113</v>
      </c>
      <c r="L193">
        <v>5442520</v>
      </c>
      <c r="M193">
        <v>0</v>
      </c>
      <c r="N193">
        <v>0</v>
      </c>
      <c r="O193">
        <v>0</v>
      </c>
      <c r="P193">
        <v>56370</v>
      </c>
      <c r="Q193">
        <v>8794341</v>
      </c>
      <c r="R193">
        <v>0</v>
      </c>
      <c r="S193">
        <v>456758</v>
      </c>
      <c r="T193">
        <v>1277740</v>
      </c>
      <c r="U193">
        <v>1388698</v>
      </c>
      <c r="V193">
        <v>9610547</v>
      </c>
      <c r="W193">
        <v>0</v>
      </c>
      <c r="X193">
        <v>485065</v>
      </c>
      <c r="Y193">
        <v>925795</v>
      </c>
      <c r="Z193">
        <v>65766301</v>
      </c>
      <c r="AA193">
        <v>1531571</v>
      </c>
      <c r="AB193">
        <v>761116</v>
      </c>
      <c r="AC193">
        <v>0</v>
      </c>
      <c r="AD193">
        <v>0</v>
      </c>
      <c r="AF193">
        <v>36983039</v>
      </c>
      <c r="AG193">
        <v>0</v>
      </c>
      <c r="AH193">
        <v>102041</v>
      </c>
      <c r="AI193">
        <v>2498078</v>
      </c>
      <c r="AJ193">
        <v>118916</v>
      </c>
      <c r="AK193">
        <v>228715</v>
      </c>
      <c r="AL193">
        <v>27958853</v>
      </c>
      <c r="AM193">
        <v>739605</v>
      </c>
      <c r="AN193">
        <v>15881447</v>
      </c>
      <c r="AO193">
        <v>0</v>
      </c>
      <c r="AP193">
        <v>5280675</v>
      </c>
      <c r="AQ193">
        <v>0</v>
      </c>
      <c r="AR193">
        <v>0</v>
      </c>
      <c r="AS193">
        <v>1783880</v>
      </c>
      <c r="AT193">
        <v>362473</v>
      </c>
      <c r="AU193">
        <v>71449828</v>
      </c>
      <c r="AV193">
        <v>32991572</v>
      </c>
      <c r="AW193">
        <v>1060824</v>
      </c>
      <c r="AX193">
        <v>189940</v>
      </c>
      <c r="AY193">
        <v>142270</v>
      </c>
      <c r="BA193">
        <v>0</v>
      </c>
      <c r="BB193">
        <v>4406830</v>
      </c>
      <c r="BC193">
        <v>512208</v>
      </c>
      <c r="BD193">
        <v>0</v>
      </c>
      <c r="BE193">
        <v>195243</v>
      </c>
      <c r="BF193">
        <v>12465985</v>
      </c>
      <c r="BG193">
        <v>0</v>
      </c>
      <c r="BH193">
        <v>12138573</v>
      </c>
      <c r="BI193">
        <v>1366023</v>
      </c>
      <c r="BJ193">
        <v>0</v>
      </c>
      <c r="BK193">
        <v>0</v>
      </c>
      <c r="BL193">
        <v>33861791</v>
      </c>
      <c r="BM193">
        <v>26241664</v>
      </c>
      <c r="BN193">
        <v>925908</v>
      </c>
      <c r="BO193">
        <v>34234403</v>
      </c>
      <c r="BP193">
        <v>50055866</v>
      </c>
      <c r="BQ193">
        <v>325137</v>
      </c>
      <c r="BR193">
        <v>810240</v>
      </c>
      <c r="BS193" s="180">
        <v>0</v>
      </c>
      <c r="BT193" s="180">
        <v>27095134</v>
      </c>
      <c r="BU193" s="180">
        <v>338910</v>
      </c>
      <c r="BV193" s="180">
        <v>22728</v>
      </c>
      <c r="BW193" s="180">
        <v>5273111</v>
      </c>
      <c r="BX193" s="180">
        <v>0</v>
      </c>
      <c r="BY193" s="180">
        <v>52918092</v>
      </c>
      <c r="BZ193" s="180">
        <v>1042772</v>
      </c>
      <c r="CA193" s="180">
        <v>0</v>
      </c>
      <c r="CB193" s="180">
        <v>479310</v>
      </c>
      <c r="CC193" s="180">
        <v>0</v>
      </c>
      <c r="CD193" s="180">
        <v>0</v>
      </c>
      <c r="CE193" s="180"/>
      <c r="CF193" s="180"/>
      <c r="CG193" s="180"/>
      <c r="CH193" s="180"/>
      <c r="CI193" s="180"/>
      <c r="CJ193" s="180"/>
      <c r="CK193" s="180"/>
      <c r="CL193" s="180"/>
      <c r="CM193" s="180"/>
      <c r="CN193" s="180"/>
      <c r="CO193" s="180"/>
      <c r="CP193" s="180"/>
      <c r="CQ193" s="180"/>
      <c r="CR193" s="180"/>
      <c r="CS193" s="180"/>
      <c r="CT193" s="180"/>
      <c r="CU193" s="180"/>
    </row>
    <row r="194" spans="1:99" x14ac:dyDescent="0.3">
      <c r="A194">
        <v>655</v>
      </c>
      <c r="B194" t="s">
        <v>910</v>
      </c>
      <c r="E194">
        <v>0</v>
      </c>
      <c r="F194">
        <v>0</v>
      </c>
      <c r="G194">
        <v>42729</v>
      </c>
      <c r="H194">
        <v>106250</v>
      </c>
      <c r="I194">
        <v>21317</v>
      </c>
      <c r="J194">
        <v>0</v>
      </c>
      <c r="K194">
        <v>47344</v>
      </c>
      <c r="L194">
        <v>769978</v>
      </c>
      <c r="M194">
        <v>0</v>
      </c>
      <c r="N194">
        <v>0</v>
      </c>
      <c r="O194">
        <v>0</v>
      </c>
      <c r="P194">
        <v>700</v>
      </c>
      <c r="Q194">
        <v>344344</v>
      </c>
      <c r="R194">
        <v>0</v>
      </c>
      <c r="S194">
        <v>22120</v>
      </c>
      <c r="T194">
        <v>58715</v>
      </c>
      <c r="U194">
        <v>9485</v>
      </c>
      <c r="V194">
        <v>44380</v>
      </c>
      <c r="W194">
        <v>0</v>
      </c>
      <c r="X194">
        <v>60938</v>
      </c>
      <c r="Y194">
        <v>32112</v>
      </c>
      <c r="Z194">
        <v>7214761</v>
      </c>
      <c r="AA194">
        <v>0</v>
      </c>
      <c r="AB194">
        <v>0</v>
      </c>
      <c r="AC194">
        <v>0</v>
      </c>
      <c r="AD194">
        <v>0</v>
      </c>
      <c r="AF194">
        <v>7988600</v>
      </c>
      <c r="AG194">
        <v>0</v>
      </c>
      <c r="AH194">
        <v>19027</v>
      </c>
      <c r="AI194">
        <v>66928</v>
      </c>
      <c r="AJ194">
        <v>0</v>
      </c>
      <c r="AK194">
        <v>7450</v>
      </c>
      <c r="AL194">
        <v>1578697</v>
      </c>
      <c r="AM194">
        <v>0</v>
      </c>
      <c r="AN194">
        <v>1103459</v>
      </c>
      <c r="AO194">
        <v>0</v>
      </c>
      <c r="AP194">
        <v>1245255</v>
      </c>
      <c r="AQ194">
        <v>0</v>
      </c>
      <c r="AR194">
        <v>0</v>
      </c>
      <c r="AS194">
        <v>59873</v>
      </c>
      <c r="AT194">
        <v>24260</v>
      </c>
      <c r="AU194">
        <v>0</v>
      </c>
      <c r="AV194">
        <v>1123775</v>
      </c>
      <c r="AW194">
        <v>365596</v>
      </c>
      <c r="AX194">
        <v>66103</v>
      </c>
      <c r="AY194">
        <v>100772</v>
      </c>
      <c r="BA194">
        <v>85032</v>
      </c>
      <c r="BB194">
        <v>0</v>
      </c>
      <c r="BC194">
        <v>121495</v>
      </c>
      <c r="BD194">
        <v>0</v>
      </c>
      <c r="BE194">
        <v>0</v>
      </c>
      <c r="BF194">
        <v>341395</v>
      </c>
      <c r="BG194">
        <v>0</v>
      </c>
      <c r="BH194">
        <v>407574</v>
      </c>
      <c r="BI194">
        <v>107764</v>
      </c>
      <c r="BJ194">
        <v>0</v>
      </c>
      <c r="BK194">
        <v>0</v>
      </c>
      <c r="BL194">
        <v>271139</v>
      </c>
      <c r="BM194">
        <v>8948326</v>
      </c>
      <c r="BN194">
        <v>85</v>
      </c>
      <c r="BO194">
        <v>737835</v>
      </c>
      <c r="BP194">
        <v>0</v>
      </c>
      <c r="BQ194">
        <v>19375</v>
      </c>
      <c r="BR194">
        <v>840</v>
      </c>
      <c r="BS194" s="180">
        <v>0</v>
      </c>
      <c r="BT194" s="180">
        <v>12364578</v>
      </c>
      <c r="BU194" s="180">
        <v>19505</v>
      </c>
      <c r="BV194" s="180">
        <v>350</v>
      </c>
      <c r="BW194" s="180">
        <v>3737068</v>
      </c>
      <c r="BX194" s="180">
        <v>0</v>
      </c>
      <c r="BY194" s="180">
        <v>5593755</v>
      </c>
      <c r="BZ194" s="180">
        <v>825</v>
      </c>
      <c r="CA194" s="180">
        <v>0</v>
      </c>
      <c r="CB194" s="180">
        <v>12615</v>
      </c>
      <c r="CC194" s="180">
        <v>0</v>
      </c>
      <c r="CD194" s="180">
        <v>0</v>
      </c>
      <c r="CE194" s="180"/>
      <c r="CF194" s="180"/>
      <c r="CG194" s="180"/>
      <c r="CH194" s="180"/>
      <c r="CI194" s="180"/>
      <c r="CJ194" s="180"/>
      <c r="CK194" s="180"/>
      <c r="CL194" s="180"/>
      <c r="CM194" s="180"/>
      <c r="CN194" s="180"/>
      <c r="CO194" s="180"/>
      <c r="CP194" s="180"/>
      <c r="CQ194" s="180"/>
      <c r="CR194" s="180"/>
      <c r="CS194" s="180"/>
      <c r="CT194" s="180"/>
      <c r="CU194" s="180"/>
    </row>
    <row r="195" spans="1:99" x14ac:dyDescent="0.3">
      <c r="A195">
        <v>656</v>
      </c>
      <c r="B195" t="s">
        <v>419</v>
      </c>
      <c r="E195">
        <v>2</v>
      </c>
      <c r="F195">
        <v>0</v>
      </c>
      <c r="G195">
        <v>0</v>
      </c>
      <c r="H195">
        <v>2</v>
      </c>
      <c r="I195">
        <v>2</v>
      </c>
      <c r="J195">
        <v>2</v>
      </c>
      <c r="K195">
        <v>2</v>
      </c>
      <c r="L195">
        <v>2</v>
      </c>
      <c r="M195">
        <v>2</v>
      </c>
      <c r="N195">
        <v>2</v>
      </c>
      <c r="O195">
        <v>0</v>
      </c>
      <c r="P195">
        <v>2</v>
      </c>
      <c r="Q195">
        <v>2</v>
      </c>
      <c r="R195">
        <v>0</v>
      </c>
      <c r="S195">
        <v>2</v>
      </c>
      <c r="T195">
        <v>2</v>
      </c>
      <c r="U195">
        <v>2</v>
      </c>
      <c r="V195">
        <v>2</v>
      </c>
      <c r="W195">
        <v>2</v>
      </c>
      <c r="X195">
        <v>2</v>
      </c>
      <c r="Y195">
        <v>2</v>
      </c>
      <c r="Z195">
        <v>2</v>
      </c>
      <c r="AA195">
        <v>2</v>
      </c>
      <c r="AB195">
        <v>2</v>
      </c>
      <c r="AC195">
        <v>2</v>
      </c>
      <c r="AD195">
        <v>2</v>
      </c>
      <c r="AF195">
        <v>2</v>
      </c>
      <c r="AG195">
        <v>0</v>
      </c>
      <c r="AH195">
        <v>2</v>
      </c>
      <c r="AI195">
        <v>2</v>
      </c>
      <c r="AJ195">
        <v>2</v>
      </c>
      <c r="AK195">
        <v>0</v>
      </c>
      <c r="AL195">
        <v>1</v>
      </c>
      <c r="AM195">
        <v>2</v>
      </c>
      <c r="AN195">
        <v>2</v>
      </c>
      <c r="AO195">
        <v>2</v>
      </c>
      <c r="AP195">
        <v>2</v>
      </c>
      <c r="AQ195">
        <v>1</v>
      </c>
      <c r="AR195">
        <v>2</v>
      </c>
      <c r="AS195">
        <v>2</v>
      </c>
      <c r="AT195">
        <v>2</v>
      </c>
      <c r="AU195">
        <v>1</v>
      </c>
      <c r="AV195">
        <v>0</v>
      </c>
      <c r="AW195">
        <v>0</v>
      </c>
      <c r="AX195">
        <v>0</v>
      </c>
      <c r="AY195">
        <v>2</v>
      </c>
      <c r="BA195">
        <v>2</v>
      </c>
      <c r="BB195">
        <v>2</v>
      </c>
      <c r="BC195">
        <v>2</v>
      </c>
      <c r="BD195">
        <v>2</v>
      </c>
      <c r="BE195">
        <v>0</v>
      </c>
      <c r="BF195">
        <v>2</v>
      </c>
      <c r="BG195">
        <v>0</v>
      </c>
      <c r="BH195">
        <v>2</v>
      </c>
      <c r="BI195">
        <v>0</v>
      </c>
      <c r="BJ195">
        <v>2</v>
      </c>
      <c r="BK195">
        <v>0</v>
      </c>
      <c r="BL195">
        <v>2</v>
      </c>
      <c r="BM195">
        <v>2</v>
      </c>
      <c r="BN195">
        <v>2</v>
      </c>
      <c r="BO195">
        <v>2</v>
      </c>
      <c r="BP195">
        <v>2</v>
      </c>
      <c r="BQ195">
        <v>2</v>
      </c>
      <c r="BR195">
        <v>2</v>
      </c>
      <c r="BS195" s="180">
        <v>0</v>
      </c>
      <c r="BT195" s="180">
        <v>2</v>
      </c>
      <c r="BU195" s="180">
        <v>2</v>
      </c>
      <c r="BV195" s="180">
        <v>2</v>
      </c>
      <c r="BW195" s="180">
        <v>0</v>
      </c>
      <c r="BX195" s="180">
        <v>0</v>
      </c>
      <c r="BY195" s="180">
        <v>2</v>
      </c>
      <c r="BZ195" s="180">
        <v>0</v>
      </c>
      <c r="CA195" s="180">
        <v>2</v>
      </c>
      <c r="CB195" s="180">
        <v>2</v>
      </c>
      <c r="CC195" s="180">
        <v>2</v>
      </c>
      <c r="CD195" s="180">
        <v>1</v>
      </c>
      <c r="CE195" s="180"/>
      <c r="CF195" s="180"/>
      <c r="CG195" s="180"/>
      <c r="CH195" s="180"/>
      <c r="CI195" s="180"/>
      <c r="CJ195" s="180"/>
      <c r="CK195" s="180"/>
      <c r="CL195" s="180"/>
      <c r="CM195" s="180"/>
      <c r="CN195" s="180"/>
      <c r="CO195" s="180"/>
      <c r="CP195" s="180"/>
      <c r="CQ195" s="180"/>
      <c r="CR195" s="180"/>
      <c r="CS195" s="180"/>
      <c r="CT195" s="180"/>
      <c r="CU195" s="180"/>
    </row>
    <row r="196" spans="1:99" x14ac:dyDescent="0.3">
      <c r="A196">
        <v>657</v>
      </c>
      <c r="B196" s="551" t="s">
        <v>911</v>
      </c>
      <c r="E196">
        <v>0</v>
      </c>
      <c r="F196">
        <v>0</v>
      </c>
      <c r="G196">
        <v>0</v>
      </c>
      <c r="H196">
        <v>0</v>
      </c>
      <c r="I196">
        <v>0</v>
      </c>
      <c r="J196">
        <v>0</v>
      </c>
      <c r="K196">
        <v>0</v>
      </c>
      <c r="L196">
        <v>2217401</v>
      </c>
      <c r="M196" s="551">
        <v>0</v>
      </c>
      <c r="N196">
        <v>0</v>
      </c>
      <c r="O196">
        <v>0</v>
      </c>
      <c r="P196">
        <v>0</v>
      </c>
      <c r="Q196">
        <v>4839084</v>
      </c>
      <c r="R196">
        <v>0</v>
      </c>
      <c r="S196">
        <v>1104110</v>
      </c>
      <c r="T196">
        <v>0</v>
      </c>
      <c r="U196">
        <v>0</v>
      </c>
      <c r="V196">
        <v>0</v>
      </c>
      <c r="W196">
        <v>0</v>
      </c>
      <c r="X196">
        <v>0</v>
      </c>
      <c r="Y196">
        <v>745817</v>
      </c>
      <c r="Z196">
        <v>0</v>
      </c>
      <c r="AA196">
        <v>0</v>
      </c>
      <c r="AB196">
        <v>0</v>
      </c>
      <c r="AC196">
        <v>0</v>
      </c>
      <c r="AD196">
        <v>0</v>
      </c>
      <c r="AF196">
        <v>64248510</v>
      </c>
      <c r="AG196">
        <v>0</v>
      </c>
      <c r="AH196">
        <v>0</v>
      </c>
      <c r="AI196">
        <v>0</v>
      </c>
      <c r="AJ196">
        <v>0</v>
      </c>
      <c r="AK196">
        <v>0</v>
      </c>
      <c r="AL196">
        <v>0</v>
      </c>
      <c r="AM196">
        <v>0</v>
      </c>
      <c r="AN196">
        <v>0</v>
      </c>
      <c r="AO196">
        <v>0</v>
      </c>
      <c r="AP196">
        <v>9050090</v>
      </c>
      <c r="AQ196">
        <v>0</v>
      </c>
      <c r="AR196">
        <v>0</v>
      </c>
      <c r="AS196">
        <v>0</v>
      </c>
      <c r="AT196">
        <v>0</v>
      </c>
      <c r="AU196">
        <v>0</v>
      </c>
      <c r="AV196">
        <v>76631609</v>
      </c>
      <c r="AW196">
        <v>0</v>
      </c>
      <c r="AX196">
        <v>0</v>
      </c>
      <c r="AY196">
        <v>0</v>
      </c>
      <c r="BA196">
        <v>676953</v>
      </c>
      <c r="BB196">
        <v>0</v>
      </c>
      <c r="BC196">
        <v>0</v>
      </c>
      <c r="BD196">
        <v>0</v>
      </c>
      <c r="BE196">
        <v>0</v>
      </c>
      <c r="BF196">
        <v>0</v>
      </c>
      <c r="BG196">
        <v>0</v>
      </c>
      <c r="BH196">
        <v>0</v>
      </c>
      <c r="BI196">
        <v>0</v>
      </c>
      <c r="BJ196">
        <v>0</v>
      </c>
      <c r="BK196">
        <v>0</v>
      </c>
      <c r="BL196">
        <v>0</v>
      </c>
      <c r="BM196">
        <v>0</v>
      </c>
      <c r="BN196">
        <v>1657041</v>
      </c>
      <c r="BO196">
        <v>0</v>
      </c>
      <c r="BP196">
        <v>92685271</v>
      </c>
      <c r="BQ196">
        <v>0</v>
      </c>
      <c r="BR196">
        <v>10502129</v>
      </c>
      <c r="BS196" s="180">
        <v>0</v>
      </c>
      <c r="BT196" s="180">
        <v>0</v>
      </c>
      <c r="BU196" s="180">
        <v>472113</v>
      </c>
      <c r="BV196" s="180">
        <v>0</v>
      </c>
      <c r="BW196" s="180">
        <v>0</v>
      </c>
      <c r="BX196" s="180">
        <v>0</v>
      </c>
      <c r="BY196" s="180">
        <v>0</v>
      </c>
      <c r="BZ196" s="180">
        <v>504446</v>
      </c>
      <c r="CA196" s="180">
        <v>0</v>
      </c>
      <c r="CB196" s="180">
        <v>0</v>
      </c>
      <c r="CC196" s="180">
        <v>0</v>
      </c>
      <c r="CD196" s="180">
        <v>12170177</v>
      </c>
      <c r="CE196" s="180"/>
      <c r="CF196" s="180"/>
      <c r="CG196" s="180"/>
      <c r="CH196" s="180"/>
      <c r="CI196" s="180"/>
      <c r="CJ196" s="180"/>
      <c r="CK196" s="180"/>
      <c r="CL196" s="180"/>
      <c r="CM196" s="180"/>
      <c r="CN196" s="180"/>
      <c r="CO196" s="180"/>
      <c r="CP196" s="180"/>
      <c r="CQ196" s="180"/>
      <c r="CR196" s="180"/>
      <c r="CS196" s="180"/>
      <c r="CT196" s="180"/>
      <c r="CU196" s="180"/>
    </row>
    <row r="197" spans="1:99" x14ac:dyDescent="0.3">
      <c r="A197">
        <v>658</v>
      </c>
      <c r="B197" s="551" t="s">
        <v>912</v>
      </c>
      <c r="E197">
        <v>0</v>
      </c>
      <c r="F197">
        <v>0</v>
      </c>
      <c r="G197">
        <v>0</v>
      </c>
      <c r="H197">
        <v>0</v>
      </c>
      <c r="I197">
        <v>0</v>
      </c>
      <c r="J197">
        <v>0</v>
      </c>
      <c r="K197">
        <v>0</v>
      </c>
      <c r="L197">
        <v>194011</v>
      </c>
      <c r="M197" s="551">
        <v>0</v>
      </c>
      <c r="N197">
        <v>0</v>
      </c>
      <c r="O197">
        <v>0</v>
      </c>
      <c r="P197">
        <v>0</v>
      </c>
      <c r="Q197">
        <v>285448</v>
      </c>
      <c r="R197">
        <v>0</v>
      </c>
      <c r="S197">
        <v>38475</v>
      </c>
      <c r="T197">
        <v>0</v>
      </c>
      <c r="U197">
        <v>0</v>
      </c>
      <c r="V197">
        <v>0</v>
      </c>
      <c r="W197">
        <v>0</v>
      </c>
      <c r="X197">
        <v>0</v>
      </c>
      <c r="Y197">
        <v>91625</v>
      </c>
      <c r="Z197">
        <v>0</v>
      </c>
      <c r="AA197">
        <v>0</v>
      </c>
      <c r="AB197">
        <v>0</v>
      </c>
      <c r="AC197">
        <v>0</v>
      </c>
      <c r="AD197">
        <v>0</v>
      </c>
      <c r="AF197">
        <v>1445222</v>
      </c>
      <c r="AG197">
        <v>0</v>
      </c>
      <c r="AH197">
        <v>0</v>
      </c>
      <c r="AI197">
        <v>0</v>
      </c>
      <c r="AJ197">
        <v>0</v>
      </c>
      <c r="AK197">
        <v>0</v>
      </c>
      <c r="AL197">
        <v>0</v>
      </c>
      <c r="AM197">
        <v>0</v>
      </c>
      <c r="AN197">
        <v>0</v>
      </c>
      <c r="AO197">
        <v>0</v>
      </c>
      <c r="AP197">
        <v>327286</v>
      </c>
      <c r="AQ197">
        <v>0</v>
      </c>
      <c r="AR197">
        <v>0</v>
      </c>
      <c r="AS197">
        <v>0</v>
      </c>
      <c r="AT197">
        <v>0</v>
      </c>
      <c r="AU197">
        <v>0</v>
      </c>
      <c r="AV197">
        <v>4816470</v>
      </c>
      <c r="AW197">
        <v>0</v>
      </c>
      <c r="AX197">
        <v>0</v>
      </c>
      <c r="AY197">
        <v>0</v>
      </c>
      <c r="BA197">
        <v>18687</v>
      </c>
      <c r="BB197">
        <v>0</v>
      </c>
      <c r="BC197">
        <v>0</v>
      </c>
      <c r="BD197">
        <v>0</v>
      </c>
      <c r="BE197">
        <v>0</v>
      </c>
      <c r="BF197">
        <v>0</v>
      </c>
      <c r="BG197">
        <v>0</v>
      </c>
      <c r="BH197">
        <v>0</v>
      </c>
      <c r="BI197">
        <v>0</v>
      </c>
      <c r="BJ197">
        <v>0</v>
      </c>
      <c r="BK197">
        <v>0</v>
      </c>
      <c r="BL197">
        <v>0</v>
      </c>
      <c r="BM197">
        <v>0</v>
      </c>
      <c r="BN197">
        <v>124104</v>
      </c>
      <c r="BO197">
        <v>0</v>
      </c>
      <c r="BP197">
        <v>0</v>
      </c>
      <c r="BQ197">
        <v>0</v>
      </c>
      <c r="BR197">
        <v>46726</v>
      </c>
      <c r="BS197" s="180">
        <v>0</v>
      </c>
      <c r="BT197" s="180">
        <v>0</v>
      </c>
      <c r="BU197" s="180">
        <v>66690</v>
      </c>
      <c r="BV197" s="180">
        <v>0</v>
      </c>
      <c r="BW197" s="180">
        <v>0</v>
      </c>
      <c r="BX197" s="180">
        <v>0</v>
      </c>
      <c r="BY197" s="180">
        <v>0</v>
      </c>
      <c r="BZ197" s="180">
        <v>46238</v>
      </c>
      <c r="CA197" s="180">
        <v>0</v>
      </c>
      <c r="CB197" s="180">
        <v>0</v>
      </c>
      <c r="CC197" s="180">
        <v>0</v>
      </c>
      <c r="CD197" s="180">
        <v>329021</v>
      </c>
      <c r="CE197" s="180"/>
      <c r="CF197" s="180"/>
      <c r="CG197" s="180"/>
      <c r="CH197" s="180"/>
      <c r="CI197" s="180"/>
      <c r="CJ197" s="180"/>
      <c r="CK197" s="180"/>
      <c r="CL197" s="180"/>
      <c r="CM197" s="180"/>
      <c r="CN197" s="180"/>
      <c r="CO197" s="180"/>
      <c r="CP197" s="180"/>
      <c r="CQ197" s="180"/>
      <c r="CR197" s="180"/>
      <c r="CS197" s="180"/>
      <c r="CT197" s="180"/>
      <c r="CU197" s="180"/>
    </row>
    <row r="198" spans="1:99" x14ac:dyDescent="0.3">
      <c r="A198">
        <v>659</v>
      </c>
      <c r="B198" t="s">
        <v>913</v>
      </c>
      <c r="E198">
        <v>1934058</v>
      </c>
      <c r="F198">
        <v>0</v>
      </c>
      <c r="G198">
        <v>411422</v>
      </c>
      <c r="H198">
        <v>0</v>
      </c>
      <c r="I198">
        <v>0</v>
      </c>
      <c r="J198">
        <v>0</v>
      </c>
      <c r="K198">
        <v>0</v>
      </c>
      <c r="L198">
        <v>2480170</v>
      </c>
      <c r="M198">
        <v>49393475</v>
      </c>
      <c r="N198">
        <v>0</v>
      </c>
      <c r="O198">
        <v>46872</v>
      </c>
      <c r="P198">
        <v>0</v>
      </c>
      <c r="Q198">
        <v>0</v>
      </c>
      <c r="R198">
        <v>0</v>
      </c>
      <c r="S198">
        <v>0</v>
      </c>
      <c r="T198">
        <v>0</v>
      </c>
      <c r="U198">
        <v>0</v>
      </c>
      <c r="V198">
        <v>2084503</v>
      </c>
      <c r="W198">
        <v>0</v>
      </c>
      <c r="X198">
        <v>0</v>
      </c>
      <c r="Y198">
        <v>593335</v>
      </c>
      <c r="Z198">
        <v>3574369</v>
      </c>
      <c r="AA198">
        <v>0</v>
      </c>
      <c r="AB198">
        <v>0</v>
      </c>
      <c r="AC198">
        <v>16415108</v>
      </c>
      <c r="AD198">
        <v>0</v>
      </c>
      <c r="AF198">
        <v>58324453</v>
      </c>
      <c r="AG198">
        <v>0</v>
      </c>
      <c r="AH198">
        <v>0</v>
      </c>
      <c r="AI198">
        <v>720132</v>
      </c>
      <c r="AJ198">
        <v>0</v>
      </c>
      <c r="AK198">
        <v>0</v>
      </c>
      <c r="AL198">
        <v>7298903</v>
      </c>
      <c r="AM198">
        <v>0</v>
      </c>
      <c r="AN198">
        <v>12837015</v>
      </c>
      <c r="AO198">
        <v>0</v>
      </c>
      <c r="AP198">
        <v>100796</v>
      </c>
      <c r="AQ198">
        <v>0</v>
      </c>
      <c r="AR198">
        <v>0</v>
      </c>
      <c r="AS198">
        <v>0</v>
      </c>
      <c r="AT198">
        <v>0</v>
      </c>
      <c r="AU198">
        <v>148923261</v>
      </c>
      <c r="AV198">
        <v>66766800</v>
      </c>
      <c r="AW198">
        <v>0</v>
      </c>
      <c r="AX198">
        <v>0</v>
      </c>
      <c r="AY198">
        <v>0</v>
      </c>
      <c r="BA198">
        <v>0</v>
      </c>
      <c r="BB198">
        <v>6903484</v>
      </c>
      <c r="BC198">
        <v>0</v>
      </c>
      <c r="BD198">
        <v>0</v>
      </c>
      <c r="BE198">
        <v>0</v>
      </c>
      <c r="BF198">
        <v>0</v>
      </c>
      <c r="BG198">
        <v>0</v>
      </c>
      <c r="BH198">
        <v>3079667</v>
      </c>
      <c r="BI198">
        <v>889102</v>
      </c>
      <c r="BJ198">
        <v>0</v>
      </c>
      <c r="BK198">
        <v>0</v>
      </c>
      <c r="BL198">
        <v>10243887</v>
      </c>
      <c r="BM198">
        <v>3883955</v>
      </c>
      <c r="BN198">
        <v>0</v>
      </c>
      <c r="BO198">
        <v>17611128</v>
      </c>
      <c r="BP198">
        <v>13418195</v>
      </c>
      <c r="BQ198">
        <v>0</v>
      </c>
      <c r="BR198">
        <v>0</v>
      </c>
      <c r="BS198" s="180">
        <v>0</v>
      </c>
      <c r="BT198" s="180">
        <v>1351578</v>
      </c>
      <c r="BU198" s="180">
        <v>0</v>
      </c>
      <c r="BV198" s="180">
        <v>0</v>
      </c>
      <c r="BW198" s="180">
        <v>0</v>
      </c>
      <c r="BX198" s="180">
        <v>113730</v>
      </c>
      <c r="BY198" s="180">
        <v>6258755</v>
      </c>
      <c r="BZ198" s="180">
        <v>0</v>
      </c>
      <c r="CA198" s="180">
        <v>8918824</v>
      </c>
      <c r="CB198" s="180">
        <v>0</v>
      </c>
      <c r="CC198" s="180">
        <v>0</v>
      </c>
      <c r="CD198" s="180">
        <v>3607473</v>
      </c>
      <c r="CE198" s="180"/>
      <c r="CF198" s="180"/>
      <c r="CG198" s="180"/>
      <c r="CH198" s="180"/>
      <c r="CI198" s="180"/>
      <c r="CJ198" s="180"/>
      <c r="CK198" s="180"/>
      <c r="CL198" s="180"/>
      <c r="CM198" s="180"/>
      <c r="CN198" s="180"/>
      <c r="CO198" s="180"/>
      <c r="CP198" s="180"/>
      <c r="CQ198" s="180"/>
      <c r="CR198" s="180"/>
      <c r="CS198" s="180"/>
      <c r="CT198" s="180"/>
      <c r="CU198" s="180"/>
    </row>
    <row r="199" spans="1:99" x14ac:dyDescent="0.3">
      <c r="A199">
        <v>660</v>
      </c>
      <c r="B199" t="s">
        <v>914</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F199">
        <v>0</v>
      </c>
      <c r="AG199">
        <v>0</v>
      </c>
      <c r="AH199">
        <v>0</v>
      </c>
      <c r="AI199">
        <v>0</v>
      </c>
      <c r="AJ199">
        <v>0</v>
      </c>
      <c r="AK199">
        <v>0</v>
      </c>
      <c r="AL199">
        <v>0</v>
      </c>
      <c r="AM199">
        <v>0</v>
      </c>
      <c r="AN199">
        <v>0</v>
      </c>
      <c r="AO199">
        <v>0</v>
      </c>
      <c r="AP199">
        <v>0</v>
      </c>
      <c r="AQ199">
        <v>0</v>
      </c>
      <c r="AR199">
        <v>0</v>
      </c>
      <c r="AS199">
        <v>0</v>
      </c>
      <c r="AT199">
        <v>0</v>
      </c>
      <c r="AU199">
        <v>34243114</v>
      </c>
      <c r="AV199">
        <v>9681139</v>
      </c>
      <c r="AW199">
        <v>0</v>
      </c>
      <c r="AX199">
        <v>0</v>
      </c>
      <c r="AY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s="180">
        <v>0</v>
      </c>
      <c r="BT199" s="180">
        <v>0</v>
      </c>
      <c r="BU199" s="180">
        <v>0</v>
      </c>
      <c r="BV199" s="180">
        <v>0</v>
      </c>
      <c r="BW199" s="180">
        <v>0</v>
      </c>
      <c r="BX199" s="180">
        <v>0</v>
      </c>
      <c r="BY199" s="180">
        <v>801434</v>
      </c>
      <c r="BZ199" s="180">
        <v>0</v>
      </c>
      <c r="CA199" s="180">
        <v>0</v>
      </c>
      <c r="CB199" s="180">
        <v>0</v>
      </c>
      <c r="CC199" s="180">
        <v>0</v>
      </c>
      <c r="CD199" s="180">
        <v>0</v>
      </c>
      <c r="CE199" s="180"/>
      <c r="CF199" s="180"/>
      <c r="CG199" s="180"/>
      <c r="CH199" s="180"/>
      <c r="CI199" s="180"/>
      <c r="CJ199" s="180"/>
      <c r="CK199" s="180"/>
      <c r="CL199" s="180"/>
      <c r="CM199" s="180"/>
      <c r="CN199" s="180"/>
      <c r="CO199" s="180"/>
      <c r="CP199" s="180"/>
      <c r="CQ199" s="180"/>
      <c r="CR199" s="180"/>
      <c r="CS199" s="180"/>
      <c r="CT199" s="180"/>
      <c r="CU199" s="180"/>
    </row>
    <row r="200" spans="1:99" s="558" customFormat="1" x14ac:dyDescent="0.3">
      <c r="A200">
        <v>661</v>
      </c>
      <c r="B200" t="s">
        <v>418</v>
      </c>
      <c r="C200"/>
      <c r="D200"/>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c r="AF200">
        <v>0</v>
      </c>
      <c r="AG200">
        <v>0</v>
      </c>
      <c r="AH200">
        <v>0</v>
      </c>
      <c r="AI200">
        <v>0</v>
      </c>
      <c r="AJ200">
        <v>0</v>
      </c>
      <c r="AK200">
        <v>0</v>
      </c>
      <c r="AL200">
        <v>0</v>
      </c>
      <c r="AM200">
        <v>0</v>
      </c>
      <c r="AN200">
        <v>0</v>
      </c>
      <c r="AO200">
        <v>0</v>
      </c>
      <c r="AP200">
        <v>0</v>
      </c>
      <c r="AQ200">
        <v>0</v>
      </c>
      <c r="AR200">
        <v>0</v>
      </c>
      <c r="AS200">
        <v>0</v>
      </c>
      <c r="AT200">
        <v>0</v>
      </c>
      <c r="AU200">
        <v>23</v>
      </c>
      <c r="AV200">
        <v>14.5</v>
      </c>
      <c r="AW200">
        <v>0</v>
      </c>
      <c r="AX200">
        <v>0</v>
      </c>
      <c r="AY200">
        <v>0</v>
      </c>
      <c r="AZ200"/>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s="558">
        <v>0</v>
      </c>
      <c r="BT200" s="558">
        <v>0</v>
      </c>
      <c r="BU200" s="558">
        <v>0</v>
      </c>
      <c r="BV200" s="558">
        <v>0</v>
      </c>
      <c r="BW200" s="558">
        <v>0</v>
      </c>
      <c r="BX200" s="558">
        <v>0</v>
      </c>
      <c r="BY200" s="558">
        <v>12.8</v>
      </c>
      <c r="BZ200" s="558">
        <v>0</v>
      </c>
      <c r="CA200" s="558">
        <v>0</v>
      </c>
      <c r="CB200" s="558">
        <v>0</v>
      </c>
      <c r="CC200" s="558">
        <v>0</v>
      </c>
      <c r="CD200" s="558">
        <v>0</v>
      </c>
    </row>
    <row r="201" spans="1:99" s="551" customFormat="1" x14ac:dyDescent="0.3">
      <c r="A201">
        <v>906</v>
      </c>
      <c r="B201" t="s">
        <v>916</v>
      </c>
      <c r="C201"/>
      <c r="D201"/>
      <c r="E201">
        <v>1</v>
      </c>
      <c r="F201">
        <v>1</v>
      </c>
      <c r="G201">
        <v>1</v>
      </c>
      <c r="H201">
        <v>1</v>
      </c>
      <c r="I201">
        <v>1</v>
      </c>
      <c r="J201">
        <v>1</v>
      </c>
      <c r="K201">
        <v>1</v>
      </c>
      <c r="L201">
        <v>1</v>
      </c>
      <c r="M201">
        <v>1</v>
      </c>
      <c r="N201">
        <v>1</v>
      </c>
      <c r="O201">
        <v>1</v>
      </c>
      <c r="P201">
        <v>1</v>
      </c>
      <c r="Q201">
        <v>1</v>
      </c>
      <c r="R201">
        <v>1</v>
      </c>
      <c r="S201">
        <v>1</v>
      </c>
      <c r="T201">
        <v>1</v>
      </c>
      <c r="U201">
        <v>1</v>
      </c>
      <c r="V201">
        <v>1</v>
      </c>
      <c r="W201">
        <v>1</v>
      </c>
      <c r="X201">
        <v>1</v>
      </c>
      <c r="Y201">
        <v>1</v>
      </c>
      <c r="Z201">
        <v>1</v>
      </c>
      <c r="AA201">
        <v>1</v>
      </c>
      <c r="AB201">
        <v>1</v>
      </c>
      <c r="AC201">
        <v>1</v>
      </c>
      <c r="AD201">
        <v>1</v>
      </c>
      <c r="AE201"/>
      <c r="AF201">
        <v>1</v>
      </c>
      <c r="AG201">
        <v>1</v>
      </c>
      <c r="AH201">
        <v>1</v>
      </c>
      <c r="AI201">
        <v>1</v>
      </c>
      <c r="AJ201">
        <v>1</v>
      </c>
      <c r="AK201">
        <v>1</v>
      </c>
      <c r="AL201">
        <v>1</v>
      </c>
      <c r="AM201">
        <v>1</v>
      </c>
      <c r="AN201">
        <v>1</v>
      </c>
      <c r="AO201">
        <v>1</v>
      </c>
      <c r="AP201">
        <v>1</v>
      </c>
      <c r="AQ201">
        <v>1</v>
      </c>
      <c r="AR201">
        <v>1</v>
      </c>
      <c r="AS201">
        <v>1</v>
      </c>
      <c r="AT201">
        <v>1</v>
      </c>
      <c r="AU201">
        <v>1</v>
      </c>
      <c r="AV201">
        <v>1</v>
      </c>
      <c r="AW201">
        <v>1</v>
      </c>
      <c r="AX201">
        <v>1</v>
      </c>
      <c r="AY201">
        <v>1</v>
      </c>
      <c r="AZ201"/>
      <c r="BA201">
        <v>1</v>
      </c>
      <c r="BB201">
        <v>1</v>
      </c>
      <c r="BC201">
        <v>1</v>
      </c>
      <c r="BD201">
        <v>1</v>
      </c>
      <c r="BE201">
        <v>1</v>
      </c>
      <c r="BF201">
        <v>1</v>
      </c>
      <c r="BG201">
        <v>1</v>
      </c>
      <c r="BH201">
        <v>1</v>
      </c>
      <c r="BI201">
        <v>1</v>
      </c>
      <c r="BJ201">
        <v>1</v>
      </c>
      <c r="BK201">
        <v>1</v>
      </c>
      <c r="BL201">
        <v>1</v>
      </c>
      <c r="BM201">
        <v>1</v>
      </c>
      <c r="BN201">
        <v>1</v>
      </c>
      <c r="BO201">
        <v>1</v>
      </c>
      <c r="BP201">
        <v>1</v>
      </c>
      <c r="BQ201">
        <v>1</v>
      </c>
      <c r="BR201">
        <v>1</v>
      </c>
      <c r="BS201" s="551">
        <v>1</v>
      </c>
      <c r="BT201" s="551">
        <v>1</v>
      </c>
      <c r="BU201" s="551">
        <v>1</v>
      </c>
      <c r="BV201" s="551">
        <v>1</v>
      </c>
      <c r="BW201" s="551">
        <v>1</v>
      </c>
      <c r="BX201" s="551">
        <v>1</v>
      </c>
      <c r="BY201" s="551">
        <v>1</v>
      </c>
      <c r="BZ201" s="551">
        <v>1</v>
      </c>
      <c r="CA201" s="551">
        <v>1</v>
      </c>
      <c r="CB201" s="551">
        <v>1</v>
      </c>
      <c r="CC201" s="551">
        <v>1</v>
      </c>
      <c r="CD201" s="551">
        <v>1</v>
      </c>
    </row>
    <row r="202" spans="1:99" s="551" customFormat="1" x14ac:dyDescent="0.3">
      <c r="A202">
        <v>907</v>
      </c>
      <c r="B202" t="s">
        <v>917</v>
      </c>
      <c r="C202"/>
      <c r="D202"/>
      <c r="E202">
        <v>2</v>
      </c>
      <c r="F202">
        <v>1</v>
      </c>
      <c r="G202">
        <v>2</v>
      </c>
      <c r="H202">
        <v>1</v>
      </c>
      <c r="I202">
        <v>2</v>
      </c>
      <c r="J202">
        <v>1</v>
      </c>
      <c r="K202">
        <v>2</v>
      </c>
      <c r="L202">
        <v>2</v>
      </c>
      <c r="M202">
        <v>2</v>
      </c>
      <c r="N202">
        <v>2</v>
      </c>
      <c r="O202">
        <v>2</v>
      </c>
      <c r="P202">
        <v>2</v>
      </c>
      <c r="Q202">
        <v>2</v>
      </c>
      <c r="R202">
        <v>1</v>
      </c>
      <c r="S202">
        <v>2</v>
      </c>
      <c r="T202">
        <v>2</v>
      </c>
      <c r="U202">
        <v>1</v>
      </c>
      <c r="V202">
        <v>2</v>
      </c>
      <c r="W202">
        <v>2</v>
      </c>
      <c r="X202">
        <v>2</v>
      </c>
      <c r="Y202">
        <v>1</v>
      </c>
      <c r="Z202">
        <v>2</v>
      </c>
      <c r="AA202">
        <v>1</v>
      </c>
      <c r="AB202">
        <v>2</v>
      </c>
      <c r="AC202">
        <v>2</v>
      </c>
      <c r="AD202">
        <v>1</v>
      </c>
      <c r="AE202"/>
      <c r="AF202">
        <v>2</v>
      </c>
      <c r="AG202">
        <v>1</v>
      </c>
      <c r="AH202">
        <v>2</v>
      </c>
      <c r="AI202">
        <v>2</v>
      </c>
      <c r="AJ202">
        <v>1</v>
      </c>
      <c r="AK202">
        <v>1</v>
      </c>
      <c r="AL202">
        <v>2</v>
      </c>
      <c r="AM202">
        <v>1</v>
      </c>
      <c r="AN202">
        <v>2</v>
      </c>
      <c r="AO202">
        <v>2</v>
      </c>
      <c r="AP202">
        <v>2</v>
      </c>
      <c r="AQ202">
        <v>2</v>
      </c>
      <c r="AR202">
        <v>2</v>
      </c>
      <c r="AS202">
        <v>2</v>
      </c>
      <c r="AT202">
        <v>1</v>
      </c>
      <c r="AU202">
        <v>2</v>
      </c>
      <c r="AV202">
        <v>2</v>
      </c>
      <c r="AW202">
        <v>2</v>
      </c>
      <c r="AX202">
        <v>2</v>
      </c>
      <c r="AY202">
        <v>2</v>
      </c>
      <c r="AZ202"/>
      <c r="BA202">
        <v>2</v>
      </c>
      <c r="BB202">
        <v>2</v>
      </c>
      <c r="BC202">
        <v>1</v>
      </c>
      <c r="BD202">
        <v>1</v>
      </c>
      <c r="BE202">
        <v>1</v>
      </c>
      <c r="BF202">
        <v>2</v>
      </c>
      <c r="BG202">
        <v>2</v>
      </c>
      <c r="BH202">
        <v>2</v>
      </c>
      <c r="BI202">
        <v>1</v>
      </c>
      <c r="BJ202">
        <v>2</v>
      </c>
      <c r="BK202">
        <v>1</v>
      </c>
      <c r="BL202">
        <v>2</v>
      </c>
      <c r="BM202">
        <v>2</v>
      </c>
      <c r="BN202">
        <v>2</v>
      </c>
      <c r="BO202">
        <v>2</v>
      </c>
      <c r="BP202">
        <v>2</v>
      </c>
      <c r="BQ202">
        <v>1</v>
      </c>
      <c r="BR202">
        <v>2</v>
      </c>
      <c r="BS202" s="551">
        <v>1</v>
      </c>
      <c r="BT202" s="551">
        <v>2</v>
      </c>
      <c r="BU202" s="551">
        <v>1</v>
      </c>
      <c r="BV202" s="551">
        <v>2</v>
      </c>
      <c r="BW202" s="551">
        <v>2</v>
      </c>
      <c r="BX202" s="551">
        <v>1</v>
      </c>
      <c r="BY202" s="551">
        <v>2</v>
      </c>
      <c r="BZ202" s="551">
        <v>1</v>
      </c>
      <c r="CA202" s="551">
        <v>2</v>
      </c>
      <c r="CB202" s="551">
        <v>1</v>
      </c>
      <c r="CC202" s="551">
        <v>2</v>
      </c>
      <c r="CD202" s="551">
        <v>2</v>
      </c>
    </row>
    <row r="203" spans="1:99" s="553" customFormat="1" x14ac:dyDescent="0.3">
      <c r="A203">
        <v>947</v>
      </c>
      <c r="B203" t="s">
        <v>918</v>
      </c>
      <c r="C203"/>
      <c r="D203"/>
      <c r="E203" t="s">
        <v>2062</v>
      </c>
      <c r="F203" t="s">
        <v>2063</v>
      </c>
      <c r="G203" t="s">
        <v>2064</v>
      </c>
      <c r="H203" t="s">
        <v>2065</v>
      </c>
      <c r="I203" t="s">
        <v>2066</v>
      </c>
      <c r="J203" t="s">
        <v>2067</v>
      </c>
      <c r="K203" t="s">
        <v>2068</v>
      </c>
      <c r="L203" t="s">
        <v>2069</v>
      </c>
      <c r="M203" t="s">
        <v>2070</v>
      </c>
      <c r="N203" t="s">
        <v>2071</v>
      </c>
      <c r="O203" t="s">
        <v>2072</v>
      </c>
      <c r="P203" t="s">
        <v>2073</v>
      </c>
      <c r="Q203" t="s">
        <v>2074</v>
      </c>
      <c r="R203" t="s">
        <v>2075</v>
      </c>
      <c r="S203" t="s">
        <v>2076</v>
      </c>
      <c r="T203" t="s">
        <v>2570</v>
      </c>
      <c r="U203" t="s">
        <v>2078</v>
      </c>
      <c r="V203" t="s">
        <v>1989</v>
      </c>
      <c r="W203" t="s">
        <v>2571</v>
      </c>
      <c r="X203" t="s">
        <v>2079</v>
      </c>
      <c r="Y203" t="s">
        <v>2572</v>
      </c>
      <c r="Z203" t="s">
        <v>2081</v>
      </c>
      <c r="AA203" t="s">
        <v>2573</v>
      </c>
      <c r="AB203" t="s">
        <v>2574</v>
      </c>
      <c r="AC203" t="s">
        <v>1592</v>
      </c>
      <c r="AD203" t="s">
        <v>2575</v>
      </c>
      <c r="AE203"/>
      <c r="AF203" t="s">
        <v>2086</v>
      </c>
      <c r="AG203" t="s">
        <v>2087</v>
      </c>
      <c r="AH203" t="s">
        <v>2088</v>
      </c>
      <c r="AI203" t="s">
        <v>2089</v>
      </c>
      <c r="AJ203" t="s">
        <v>2086</v>
      </c>
      <c r="AK203" t="s">
        <v>2091</v>
      </c>
      <c r="AL203" t="s">
        <v>2092</v>
      </c>
      <c r="AM203" t="s">
        <v>2093</v>
      </c>
      <c r="AN203" t="s">
        <v>2576</v>
      </c>
      <c r="AO203" t="s">
        <v>1989</v>
      </c>
      <c r="AP203" t="s">
        <v>2095</v>
      </c>
      <c r="AQ203" t="s">
        <v>2096</v>
      </c>
      <c r="AR203" t="s">
        <v>2097</v>
      </c>
      <c r="AS203" t="s">
        <v>2098</v>
      </c>
      <c r="AT203" t="s">
        <v>2099</v>
      </c>
      <c r="AU203" t="s">
        <v>2100</v>
      </c>
      <c r="AV203" t="s">
        <v>2577</v>
      </c>
      <c r="AW203" t="s">
        <v>2102</v>
      </c>
      <c r="AX203" t="s">
        <v>2103</v>
      </c>
      <c r="AY203" t="s">
        <v>2104</v>
      </c>
      <c r="AZ203"/>
      <c r="BA203" t="s">
        <v>2106</v>
      </c>
      <c r="BB203" t="s">
        <v>2107</v>
      </c>
      <c r="BC203" t="s">
        <v>2108</v>
      </c>
      <c r="BD203" t="s">
        <v>2109</v>
      </c>
      <c r="BE203" t="s">
        <v>2110</v>
      </c>
      <c r="BF203" t="s">
        <v>2111</v>
      </c>
      <c r="BG203" t="s">
        <v>1592</v>
      </c>
      <c r="BH203" t="s">
        <v>2578</v>
      </c>
      <c r="BI203" t="s">
        <v>2113</v>
      </c>
      <c r="BJ203" t="s">
        <v>1547</v>
      </c>
      <c r="BK203" t="s">
        <v>2114</v>
      </c>
      <c r="BL203" t="s">
        <v>2115</v>
      </c>
      <c r="BM203" t="s">
        <v>2116</v>
      </c>
      <c r="BN203" t="s">
        <v>2095</v>
      </c>
      <c r="BO203" t="s">
        <v>2090</v>
      </c>
      <c r="BP203" t="s">
        <v>2118</v>
      </c>
      <c r="BQ203" t="s">
        <v>2119</v>
      </c>
      <c r="BR203" t="s">
        <v>2120</v>
      </c>
      <c r="BS203" s="553" t="s">
        <v>2121</v>
      </c>
      <c r="BT203" s="553" t="s">
        <v>2122</v>
      </c>
      <c r="BU203" s="553" t="s">
        <v>2123</v>
      </c>
      <c r="BV203" s="553" t="s">
        <v>2124</v>
      </c>
      <c r="BW203" s="553" t="s">
        <v>2579</v>
      </c>
      <c r="BX203" s="553" t="s">
        <v>2125</v>
      </c>
      <c r="BY203" s="553" t="s">
        <v>2102</v>
      </c>
      <c r="BZ203" s="553" t="s">
        <v>2580</v>
      </c>
      <c r="CA203" s="553" t="s">
        <v>2127</v>
      </c>
      <c r="CB203" s="553" t="s">
        <v>2128</v>
      </c>
      <c r="CC203" s="553" t="s">
        <v>2129</v>
      </c>
      <c r="CD203" s="553" t="s">
        <v>2130</v>
      </c>
    </row>
    <row r="204" spans="1:99" s="553" customFormat="1" x14ac:dyDescent="0.3">
      <c r="A204">
        <v>948</v>
      </c>
      <c r="B204" t="s">
        <v>920</v>
      </c>
      <c r="C204"/>
      <c r="D204"/>
      <c r="E204" t="s">
        <v>2131</v>
      </c>
      <c r="F204" t="s">
        <v>2132</v>
      </c>
      <c r="G204" t="s">
        <v>2112</v>
      </c>
      <c r="H204" t="s">
        <v>2133</v>
      </c>
      <c r="I204" t="s">
        <v>1554</v>
      </c>
      <c r="J204" t="s">
        <v>1551</v>
      </c>
      <c r="K204" t="s">
        <v>2134</v>
      </c>
      <c r="L204" t="s">
        <v>2581</v>
      </c>
      <c r="M204" t="s">
        <v>2136</v>
      </c>
      <c r="N204" t="s">
        <v>2137</v>
      </c>
      <c r="O204" t="s">
        <v>1596</v>
      </c>
      <c r="P204" t="s">
        <v>2138</v>
      </c>
      <c r="Q204" t="s">
        <v>2139</v>
      </c>
      <c r="R204" t="s">
        <v>815</v>
      </c>
      <c r="S204" t="s">
        <v>2140</v>
      </c>
      <c r="T204" t="s">
        <v>2141</v>
      </c>
      <c r="U204" t="s">
        <v>2142</v>
      </c>
      <c r="V204" t="s">
        <v>2143</v>
      </c>
      <c r="W204" t="s">
        <v>2582</v>
      </c>
      <c r="X204" t="s">
        <v>2144</v>
      </c>
      <c r="Y204" t="s">
        <v>2583</v>
      </c>
      <c r="Z204" t="s">
        <v>2146</v>
      </c>
      <c r="AA204" t="s">
        <v>2147</v>
      </c>
      <c r="AB204" t="s">
        <v>2584</v>
      </c>
      <c r="AC204" t="s">
        <v>2149</v>
      </c>
      <c r="AD204" t="s">
        <v>2585</v>
      </c>
      <c r="AE204"/>
      <c r="AF204" t="s">
        <v>2152</v>
      </c>
      <c r="AG204" t="s">
        <v>2153</v>
      </c>
      <c r="AH204" t="s">
        <v>2154</v>
      </c>
      <c r="AI204" t="s">
        <v>2155</v>
      </c>
      <c r="AJ204" t="s">
        <v>2586</v>
      </c>
      <c r="AK204" t="s">
        <v>2157</v>
      </c>
      <c r="AL204" t="s">
        <v>2158</v>
      </c>
      <c r="AM204" t="s">
        <v>2159</v>
      </c>
      <c r="AN204" t="s">
        <v>1256</v>
      </c>
      <c r="AO204" t="s">
        <v>2161</v>
      </c>
      <c r="AP204" t="s">
        <v>2162</v>
      </c>
      <c r="AQ204" t="s">
        <v>2163</v>
      </c>
      <c r="AR204" t="s">
        <v>1549</v>
      </c>
      <c r="AS204" t="s">
        <v>1990</v>
      </c>
      <c r="AT204" t="s">
        <v>2164</v>
      </c>
      <c r="AU204" t="s">
        <v>2165</v>
      </c>
      <c r="AV204" t="s">
        <v>2587</v>
      </c>
      <c r="AW204" t="s">
        <v>2167</v>
      </c>
      <c r="AX204" t="s">
        <v>2168</v>
      </c>
      <c r="AY204" t="s">
        <v>2169</v>
      </c>
      <c r="AZ204"/>
      <c r="BA204" t="s">
        <v>2171</v>
      </c>
      <c r="BB204" t="s">
        <v>2172</v>
      </c>
      <c r="BC204" t="s">
        <v>2173</v>
      </c>
      <c r="BD204" t="s">
        <v>2174</v>
      </c>
      <c r="BE204" t="s">
        <v>2175</v>
      </c>
      <c r="BF204" t="s">
        <v>2112</v>
      </c>
      <c r="BG204" t="s">
        <v>2176</v>
      </c>
      <c r="BH204" t="s">
        <v>2588</v>
      </c>
      <c r="BI204" t="s">
        <v>2178</v>
      </c>
      <c r="BJ204" t="s">
        <v>2179</v>
      </c>
      <c r="BK204" t="s">
        <v>2180</v>
      </c>
      <c r="BL204" t="s">
        <v>2181</v>
      </c>
      <c r="BM204" t="s">
        <v>2182</v>
      </c>
      <c r="BN204" t="s">
        <v>2183</v>
      </c>
      <c r="BO204" t="s">
        <v>1595</v>
      </c>
      <c r="BP204" t="s">
        <v>2184</v>
      </c>
      <c r="BQ204" t="s">
        <v>2185</v>
      </c>
      <c r="BR204" t="s">
        <v>2186</v>
      </c>
      <c r="BS204" s="553" t="s">
        <v>2187</v>
      </c>
      <c r="BT204" s="553" t="s">
        <v>2188</v>
      </c>
      <c r="BU204" s="553" t="s">
        <v>2189</v>
      </c>
      <c r="BV204" s="553" t="s">
        <v>2190</v>
      </c>
      <c r="BW204" s="553" t="s">
        <v>2589</v>
      </c>
      <c r="BX204" s="553" t="s">
        <v>2191</v>
      </c>
      <c r="BY204" s="553" t="s">
        <v>2590</v>
      </c>
      <c r="BZ204" s="553" t="s">
        <v>434</v>
      </c>
      <c r="CA204" s="553" t="s">
        <v>2591</v>
      </c>
      <c r="CB204" s="553" t="s">
        <v>2193</v>
      </c>
      <c r="CC204" s="553" t="s">
        <v>1593</v>
      </c>
      <c r="CD204" s="553" t="s">
        <v>2194</v>
      </c>
    </row>
    <row r="205" spans="1:99" x14ac:dyDescent="0.3">
      <c r="A205">
        <v>949</v>
      </c>
      <c r="B205" t="s">
        <v>921</v>
      </c>
      <c r="E205" t="s">
        <v>410</v>
      </c>
      <c r="F205" t="s">
        <v>410</v>
      </c>
      <c r="G205" t="s">
        <v>410</v>
      </c>
      <c r="H205" t="s">
        <v>410</v>
      </c>
      <c r="I205" t="s">
        <v>410</v>
      </c>
      <c r="J205" t="s">
        <v>410</v>
      </c>
      <c r="K205" t="s">
        <v>410</v>
      </c>
      <c r="L205" t="s">
        <v>410</v>
      </c>
      <c r="M205" t="s">
        <v>410</v>
      </c>
      <c r="N205" t="s">
        <v>410</v>
      </c>
      <c r="O205" t="s">
        <v>410</v>
      </c>
      <c r="P205" t="s">
        <v>410</v>
      </c>
      <c r="Q205" t="s">
        <v>410</v>
      </c>
      <c r="R205" t="s">
        <v>410</v>
      </c>
      <c r="S205" t="s">
        <v>410</v>
      </c>
      <c r="T205" t="s">
        <v>410</v>
      </c>
      <c r="U205" t="s">
        <v>410</v>
      </c>
      <c r="V205" t="s">
        <v>410</v>
      </c>
      <c r="W205" t="s">
        <v>410</v>
      </c>
      <c r="X205" t="s">
        <v>410</v>
      </c>
      <c r="Y205" t="s">
        <v>410</v>
      </c>
      <c r="Z205" t="s">
        <v>410</v>
      </c>
      <c r="AA205" t="s">
        <v>410</v>
      </c>
      <c r="AB205" t="s">
        <v>410</v>
      </c>
      <c r="AC205" t="s">
        <v>410</v>
      </c>
      <c r="AD205" t="s">
        <v>410</v>
      </c>
      <c r="AF205" t="s">
        <v>410</v>
      </c>
      <c r="AG205" t="s">
        <v>410</v>
      </c>
      <c r="AH205" t="s">
        <v>410</v>
      </c>
      <c r="AI205" t="s">
        <v>410</v>
      </c>
      <c r="AJ205" t="s">
        <v>410</v>
      </c>
      <c r="AK205" t="s">
        <v>410</v>
      </c>
      <c r="AL205" t="s">
        <v>410</v>
      </c>
      <c r="AM205" t="s">
        <v>410</v>
      </c>
      <c r="AN205" t="s">
        <v>410</v>
      </c>
      <c r="AO205" t="s">
        <v>410</v>
      </c>
      <c r="AP205" t="s">
        <v>410</v>
      </c>
      <c r="AQ205" t="s">
        <v>410</v>
      </c>
      <c r="AR205" t="s">
        <v>410</v>
      </c>
      <c r="AS205" t="s">
        <v>410</v>
      </c>
      <c r="AT205" t="s">
        <v>410</v>
      </c>
      <c r="AU205" t="s">
        <v>410</v>
      </c>
      <c r="AV205" t="s">
        <v>410</v>
      </c>
      <c r="AW205" t="s">
        <v>410</v>
      </c>
      <c r="AX205" t="s">
        <v>410</v>
      </c>
      <c r="AY205" t="s">
        <v>410</v>
      </c>
      <c r="BA205" t="s">
        <v>410</v>
      </c>
      <c r="BB205" t="s">
        <v>410</v>
      </c>
      <c r="BC205" t="s">
        <v>410</v>
      </c>
      <c r="BD205" t="s">
        <v>410</v>
      </c>
      <c r="BE205" t="s">
        <v>410</v>
      </c>
      <c r="BF205" t="s">
        <v>410</v>
      </c>
      <c r="BG205" t="s">
        <v>410</v>
      </c>
      <c r="BH205" t="s">
        <v>428</v>
      </c>
      <c r="BI205" t="s">
        <v>410</v>
      </c>
      <c r="BJ205" t="s">
        <v>410</v>
      </c>
      <c r="BK205" t="s">
        <v>410</v>
      </c>
      <c r="BL205" t="s">
        <v>1991</v>
      </c>
      <c r="BM205" t="s">
        <v>410</v>
      </c>
      <c r="BN205" t="s">
        <v>410</v>
      </c>
      <c r="BO205" t="s">
        <v>410</v>
      </c>
      <c r="BP205" t="s">
        <v>410</v>
      </c>
      <c r="BQ205" t="s">
        <v>410</v>
      </c>
      <c r="BR205" t="s">
        <v>410</v>
      </c>
      <c r="BS205" s="180" t="s">
        <v>410</v>
      </c>
      <c r="BT205" s="180" t="s">
        <v>410</v>
      </c>
      <c r="BU205" s="180" t="s">
        <v>410</v>
      </c>
      <c r="BV205" s="180" t="s">
        <v>410</v>
      </c>
      <c r="BW205" s="180" t="s">
        <v>410</v>
      </c>
      <c r="BX205" s="180" t="s">
        <v>410</v>
      </c>
      <c r="BY205" s="180" t="s">
        <v>410</v>
      </c>
      <c r="BZ205" s="180" t="s">
        <v>428</v>
      </c>
      <c r="CA205" s="180" t="s">
        <v>410</v>
      </c>
      <c r="CB205" s="180" t="s">
        <v>410</v>
      </c>
      <c r="CC205" s="180" t="s">
        <v>410</v>
      </c>
      <c r="CD205" s="180" t="s">
        <v>410</v>
      </c>
      <c r="CE205" s="180"/>
      <c r="CF205" s="180"/>
      <c r="CG205" s="180"/>
      <c r="CH205" s="180"/>
      <c r="CI205" s="180"/>
      <c r="CJ205" s="180"/>
      <c r="CK205" s="180"/>
      <c r="CL205" s="180"/>
      <c r="CM205" s="180"/>
      <c r="CN205" s="180"/>
      <c r="CO205" s="180"/>
      <c r="CP205" s="180"/>
      <c r="CQ205" s="180"/>
      <c r="CR205" s="180"/>
      <c r="CS205" s="180"/>
      <c r="CT205" s="180"/>
      <c r="CU205" s="180"/>
    </row>
    <row r="206" spans="1:99" x14ac:dyDescent="0.3">
      <c r="A206">
        <v>950</v>
      </c>
      <c r="B206" t="s">
        <v>922</v>
      </c>
      <c r="E206" t="s">
        <v>50</v>
      </c>
      <c r="F206" t="s">
        <v>50</v>
      </c>
      <c r="G206" t="s">
        <v>50</v>
      </c>
      <c r="H206" t="s">
        <v>50</v>
      </c>
      <c r="I206" t="s">
        <v>50</v>
      </c>
      <c r="J206" t="s">
        <v>50</v>
      </c>
      <c r="K206" t="s">
        <v>50</v>
      </c>
      <c r="L206" t="s">
        <v>50</v>
      </c>
      <c r="M206" t="s">
        <v>50</v>
      </c>
      <c r="N206" t="s">
        <v>50</v>
      </c>
      <c r="O206" t="s">
        <v>50</v>
      </c>
      <c r="P206" t="s">
        <v>50</v>
      </c>
      <c r="Q206" t="s">
        <v>50</v>
      </c>
      <c r="R206" t="s">
        <v>50</v>
      </c>
      <c r="S206" t="s">
        <v>50</v>
      </c>
      <c r="T206" t="s">
        <v>50</v>
      </c>
      <c r="U206" t="s">
        <v>50</v>
      </c>
      <c r="V206" t="s">
        <v>50</v>
      </c>
      <c r="W206" t="s">
        <v>50</v>
      </c>
      <c r="X206" t="s">
        <v>50</v>
      </c>
      <c r="Y206" t="s">
        <v>50</v>
      </c>
      <c r="Z206" t="s">
        <v>50</v>
      </c>
      <c r="AA206" t="s">
        <v>50</v>
      </c>
      <c r="AB206" t="s">
        <v>50</v>
      </c>
      <c r="AC206" t="s">
        <v>50</v>
      </c>
      <c r="AD206" t="s">
        <v>50</v>
      </c>
      <c r="AF206" t="s">
        <v>50</v>
      </c>
      <c r="AG206" t="s">
        <v>50</v>
      </c>
      <c r="AH206" t="s">
        <v>50</v>
      </c>
      <c r="AI206" t="s">
        <v>50</v>
      </c>
      <c r="AJ206" t="s">
        <v>50</v>
      </c>
      <c r="AK206" t="s">
        <v>50</v>
      </c>
      <c r="AL206" t="s">
        <v>50</v>
      </c>
      <c r="AM206" t="s">
        <v>50</v>
      </c>
      <c r="AN206" t="s">
        <v>50</v>
      </c>
      <c r="AO206" t="s">
        <v>50</v>
      </c>
      <c r="AP206" t="s">
        <v>50</v>
      </c>
      <c r="AQ206" t="s">
        <v>50</v>
      </c>
      <c r="AR206" t="s">
        <v>50</v>
      </c>
      <c r="AS206" t="s">
        <v>50</v>
      </c>
      <c r="AT206" t="s">
        <v>50</v>
      </c>
      <c r="AU206" t="s">
        <v>50</v>
      </c>
      <c r="AV206" t="s">
        <v>50</v>
      </c>
      <c r="AW206" t="s">
        <v>50</v>
      </c>
      <c r="AX206" t="s">
        <v>50</v>
      </c>
      <c r="AY206" t="s">
        <v>50</v>
      </c>
      <c r="BA206" t="s">
        <v>50</v>
      </c>
      <c r="BB206" t="s">
        <v>50</v>
      </c>
      <c r="BC206" t="s">
        <v>50</v>
      </c>
      <c r="BD206" t="s">
        <v>50</v>
      </c>
      <c r="BE206" t="s">
        <v>50</v>
      </c>
      <c r="BF206" t="s">
        <v>50</v>
      </c>
      <c r="BG206" t="s">
        <v>50</v>
      </c>
      <c r="BH206" t="s">
        <v>50</v>
      </c>
      <c r="BI206" t="s">
        <v>50</v>
      </c>
      <c r="BJ206" t="s">
        <v>50</v>
      </c>
      <c r="BK206" t="s">
        <v>50</v>
      </c>
      <c r="BL206" t="s">
        <v>50</v>
      </c>
      <c r="BM206" t="s">
        <v>50</v>
      </c>
      <c r="BN206" t="s">
        <v>50</v>
      </c>
      <c r="BO206" t="s">
        <v>50</v>
      </c>
      <c r="BP206" t="s">
        <v>50</v>
      </c>
      <c r="BQ206" t="s">
        <v>50</v>
      </c>
      <c r="BR206" t="s">
        <v>50</v>
      </c>
      <c r="BS206" s="180" t="s">
        <v>50</v>
      </c>
      <c r="BT206" s="180" t="s">
        <v>51</v>
      </c>
      <c r="BU206" s="180" t="s">
        <v>50</v>
      </c>
      <c r="BV206" s="180" t="s">
        <v>50</v>
      </c>
      <c r="BW206" s="180" t="s">
        <v>50</v>
      </c>
      <c r="BX206" s="180" t="s">
        <v>50</v>
      </c>
      <c r="BY206" s="180" t="s">
        <v>50</v>
      </c>
      <c r="BZ206" s="180" t="s">
        <v>50</v>
      </c>
      <c r="CA206" s="180" t="s">
        <v>50</v>
      </c>
      <c r="CB206" s="180" t="s">
        <v>50</v>
      </c>
      <c r="CC206" s="180" t="s">
        <v>50</v>
      </c>
      <c r="CD206" s="180" t="s">
        <v>50</v>
      </c>
      <c r="CE206" s="180"/>
      <c r="CF206" s="180"/>
      <c r="CG206" s="180"/>
      <c r="CH206" s="180"/>
      <c r="CI206" s="180"/>
      <c r="CJ206" s="180"/>
      <c r="CK206" s="180"/>
      <c r="CL206" s="180"/>
      <c r="CM206" s="180"/>
      <c r="CN206" s="180"/>
      <c r="CO206" s="180"/>
      <c r="CP206" s="180"/>
      <c r="CQ206" s="180"/>
      <c r="CR206" s="180"/>
      <c r="CS206" s="180"/>
      <c r="CT206" s="180"/>
      <c r="CU206" s="180"/>
    </row>
    <row r="207" spans="1:99" x14ac:dyDescent="0.3">
      <c r="A207">
        <v>951</v>
      </c>
      <c r="B207" t="s">
        <v>923</v>
      </c>
      <c r="E207">
        <v>2</v>
      </c>
      <c r="F207">
        <v>2</v>
      </c>
      <c r="G207">
        <v>2</v>
      </c>
      <c r="H207">
        <v>1</v>
      </c>
      <c r="I207">
        <v>2</v>
      </c>
      <c r="J207">
        <v>1</v>
      </c>
      <c r="K207">
        <v>2</v>
      </c>
      <c r="L207">
        <v>2</v>
      </c>
      <c r="M207">
        <v>2</v>
      </c>
      <c r="N207">
        <v>2</v>
      </c>
      <c r="O207">
        <v>2</v>
      </c>
      <c r="P207">
        <v>2</v>
      </c>
      <c r="Q207">
        <v>2</v>
      </c>
      <c r="R207">
        <v>2</v>
      </c>
      <c r="S207">
        <v>2</v>
      </c>
      <c r="T207">
        <v>2</v>
      </c>
      <c r="U207">
        <v>2</v>
      </c>
      <c r="V207">
        <v>2</v>
      </c>
      <c r="W207">
        <v>2</v>
      </c>
      <c r="X207">
        <v>2</v>
      </c>
      <c r="Y207">
        <v>1</v>
      </c>
      <c r="Z207">
        <v>2</v>
      </c>
      <c r="AA207">
        <v>2</v>
      </c>
      <c r="AB207">
        <v>2</v>
      </c>
      <c r="AC207">
        <v>2</v>
      </c>
      <c r="AD207">
        <v>2</v>
      </c>
      <c r="AF207">
        <v>2</v>
      </c>
      <c r="AG207">
        <v>2</v>
      </c>
      <c r="AH207">
        <v>2</v>
      </c>
      <c r="AI207">
        <v>2</v>
      </c>
      <c r="AJ207">
        <v>2</v>
      </c>
      <c r="AK207">
        <v>2</v>
      </c>
      <c r="AL207">
        <v>2</v>
      </c>
      <c r="AM207">
        <v>1</v>
      </c>
      <c r="AN207">
        <v>2</v>
      </c>
      <c r="AO207">
        <v>2</v>
      </c>
      <c r="AP207">
        <v>2</v>
      </c>
      <c r="AQ207">
        <v>2</v>
      </c>
      <c r="AR207">
        <v>2</v>
      </c>
      <c r="AS207">
        <v>2</v>
      </c>
      <c r="AT207">
        <v>2</v>
      </c>
      <c r="AU207">
        <v>2</v>
      </c>
      <c r="AV207">
        <v>2</v>
      </c>
      <c r="AW207">
        <v>2</v>
      </c>
      <c r="AX207">
        <v>2</v>
      </c>
      <c r="AY207">
        <v>2</v>
      </c>
      <c r="BA207">
        <v>2</v>
      </c>
      <c r="BB207">
        <v>2</v>
      </c>
      <c r="BC207">
        <v>2</v>
      </c>
      <c r="BD207">
        <v>2</v>
      </c>
      <c r="BE207">
        <v>1</v>
      </c>
      <c r="BF207">
        <v>2</v>
      </c>
      <c r="BG207">
        <v>2</v>
      </c>
      <c r="BH207">
        <v>2</v>
      </c>
      <c r="BI207">
        <v>2</v>
      </c>
      <c r="BJ207">
        <v>2</v>
      </c>
      <c r="BK207">
        <v>2</v>
      </c>
      <c r="BL207">
        <v>2</v>
      </c>
      <c r="BM207">
        <v>2</v>
      </c>
      <c r="BN207">
        <v>2</v>
      </c>
      <c r="BO207">
        <v>2</v>
      </c>
      <c r="BP207">
        <v>2</v>
      </c>
      <c r="BQ207">
        <v>2</v>
      </c>
      <c r="BR207">
        <v>2</v>
      </c>
      <c r="BS207" s="180">
        <v>2</v>
      </c>
      <c r="BT207" s="180">
        <v>2</v>
      </c>
      <c r="BU207" s="180">
        <v>1</v>
      </c>
      <c r="BV207" s="180">
        <v>2</v>
      </c>
      <c r="BW207" s="180">
        <v>2</v>
      </c>
      <c r="BX207" s="180">
        <v>2</v>
      </c>
      <c r="BY207" s="180">
        <v>2</v>
      </c>
      <c r="BZ207" s="180">
        <v>2</v>
      </c>
      <c r="CA207" s="180">
        <v>2</v>
      </c>
      <c r="CB207" s="180">
        <v>2</v>
      </c>
      <c r="CC207" s="180">
        <v>2</v>
      </c>
      <c r="CD207" s="180">
        <v>2</v>
      </c>
      <c r="CE207" s="180"/>
      <c r="CF207" s="180"/>
      <c r="CG207" s="180"/>
      <c r="CH207" s="180"/>
      <c r="CI207" s="180"/>
      <c r="CJ207" s="180"/>
      <c r="CK207" s="180"/>
      <c r="CL207" s="180"/>
      <c r="CM207" s="180"/>
      <c r="CN207" s="180"/>
      <c r="CO207" s="180"/>
      <c r="CP207" s="180"/>
      <c r="CQ207" s="180"/>
      <c r="CR207" s="180"/>
      <c r="CS207" s="180"/>
      <c r="CT207" s="180"/>
      <c r="CU207" s="180"/>
    </row>
    <row r="208" spans="1:99" x14ac:dyDescent="0.3">
      <c r="A208">
        <v>952</v>
      </c>
      <c r="B208" t="s">
        <v>924</v>
      </c>
      <c r="F208" t="s">
        <v>2197</v>
      </c>
      <c r="G208" t="s">
        <v>2198</v>
      </c>
      <c r="I208" t="s">
        <v>1597</v>
      </c>
      <c r="J208" t="s">
        <v>2200</v>
      </c>
      <c r="K208" t="s">
        <v>2201</v>
      </c>
      <c r="L208" t="s">
        <v>2202</v>
      </c>
      <c r="M208" t="s">
        <v>2592</v>
      </c>
      <c r="N208" t="s">
        <v>2203</v>
      </c>
      <c r="O208" t="s">
        <v>2204</v>
      </c>
      <c r="P208" t="s">
        <v>2593</v>
      </c>
      <c r="R208" t="s">
        <v>2206</v>
      </c>
      <c r="S208" t="s">
        <v>2207</v>
      </c>
      <c r="U208" t="s">
        <v>2208</v>
      </c>
      <c r="V208" t="s">
        <v>2209</v>
      </c>
      <c r="W208" t="s">
        <v>1597</v>
      </c>
      <c r="Y208" t="s">
        <v>2594</v>
      </c>
      <c r="Z208" t="s">
        <v>2196</v>
      </c>
      <c r="AB208" t="s">
        <v>2026</v>
      </c>
      <c r="AF208" t="s">
        <v>2211</v>
      </c>
      <c r="AG208" t="s">
        <v>2212</v>
      </c>
      <c r="AH208" t="s">
        <v>2208</v>
      </c>
      <c r="AI208" t="s">
        <v>2213</v>
      </c>
      <c r="AJ208" t="s">
        <v>2595</v>
      </c>
      <c r="AK208" t="s">
        <v>1062</v>
      </c>
      <c r="AL208" t="s">
        <v>2215</v>
      </c>
      <c r="AM208" t="s">
        <v>2216</v>
      </c>
      <c r="AN208" t="s">
        <v>2596</v>
      </c>
      <c r="AO208" t="s">
        <v>2218</v>
      </c>
      <c r="AP208" t="s">
        <v>2219</v>
      </c>
      <c r="AS208" t="s">
        <v>927</v>
      </c>
      <c r="AT208" t="s">
        <v>2220</v>
      </c>
      <c r="AU208" t="s">
        <v>2597</v>
      </c>
      <c r="AV208" t="s">
        <v>2013</v>
      </c>
      <c r="AW208" t="s">
        <v>944</v>
      </c>
      <c r="AX208" t="s">
        <v>1063</v>
      </c>
      <c r="AY208" t="s">
        <v>2222</v>
      </c>
      <c r="BA208" t="s">
        <v>925</v>
      </c>
      <c r="BB208" t="s">
        <v>2223</v>
      </c>
      <c r="BC208" t="s">
        <v>2199</v>
      </c>
      <c r="BF208" t="s">
        <v>2225</v>
      </c>
      <c r="BH208" t="s">
        <v>2598</v>
      </c>
      <c r="BJ208" t="s">
        <v>1625</v>
      </c>
      <c r="BL208" t="s">
        <v>2599</v>
      </c>
      <c r="BN208" t="s">
        <v>2228</v>
      </c>
      <c r="BO208" t="s">
        <v>2229</v>
      </c>
      <c r="BP208" t="s">
        <v>2230</v>
      </c>
      <c r="BS208" s="180" t="s">
        <v>1553</v>
      </c>
      <c r="BT208" s="180" t="s">
        <v>1624</v>
      </c>
      <c r="BU208" s="180" t="s">
        <v>2231</v>
      </c>
      <c r="BV208" s="180" t="s">
        <v>2208</v>
      </c>
      <c r="BW208" s="180" t="s">
        <v>2600</v>
      </c>
      <c r="BX208" s="180"/>
      <c r="BY208" s="180"/>
      <c r="BZ208" s="180" t="s">
        <v>2601</v>
      </c>
      <c r="CA208" s="180"/>
      <c r="CB208" s="180" t="s">
        <v>2235</v>
      </c>
      <c r="CC208" s="180"/>
      <c r="CD208" s="180" t="s">
        <v>2199</v>
      </c>
      <c r="CE208" s="180"/>
      <c r="CF208" s="180"/>
      <c r="CG208" s="180"/>
      <c r="CH208" s="180"/>
      <c r="CI208" s="180"/>
      <c r="CJ208" s="180"/>
      <c r="CK208" s="180"/>
      <c r="CL208" s="180"/>
      <c r="CM208" s="180"/>
      <c r="CN208" s="180"/>
      <c r="CO208" s="180"/>
      <c r="CP208" s="180"/>
      <c r="CQ208" s="180"/>
      <c r="CR208" s="180"/>
      <c r="CS208" s="180"/>
      <c r="CT208" s="180"/>
      <c r="CU208" s="180"/>
    </row>
    <row r="209" spans="1:99" s="553" customFormat="1" x14ac:dyDescent="0.3">
      <c r="A209">
        <v>953</v>
      </c>
      <c r="B209" t="s">
        <v>928</v>
      </c>
      <c r="C209"/>
      <c r="D209"/>
      <c r="E209">
        <v>2</v>
      </c>
      <c r="F209">
        <v>2</v>
      </c>
      <c r="G209">
        <v>2</v>
      </c>
      <c r="H209">
        <v>2</v>
      </c>
      <c r="I209">
        <v>2</v>
      </c>
      <c r="J209">
        <v>2</v>
      </c>
      <c r="K209">
        <v>2</v>
      </c>
      <c r="L209">
        <v>2</v>
      </c>
      <c r="M209">
        <v>2</v>
      </c>
      <c r="N209">
        <v>2</v>
      </c>
      <c r="O209">
        <v>2</v>
      </c>
      <c r="P209">
        <v>2</v>
      </c>
      <c r="Q209">
        <v>2</v>
      </c>
      <c r="R209">
        <v>2</v>
      </c>
      <c r="S209">
        <v>2</v>
      </c>
      <c r="T209">
        <v>2</v>
      </c>
      <c r="U209">
        <v>2</v>
      </c>
      <c r="V209">
        <v>2</v>
      </c>
      <c r="W209">
        <v>2</v>
      </c>
      <c r="X209">
        <v>2</v>
      </c>
      <c r="Y209">
        <v>2</v>
      </c>
      <c r="Z209">
        <v>2</v>
      </c>
      <c r="AA209">
        <v>2</v>
      </c>
      <c r="AB209">
        <v>2</v>
      </c>
      <c r="AC209">
        <v>2</v>
      </c>
      <c r="AD209">
        <v>2</v>
      </c>
      <c r="AE209"/>
      <c r="AF209">
        <v>2</v>
      </c>
      <c r="AG209">
        <v>2</v>
      </c>
      <c r="AH209">
        <v>2</v>
      </c>
      <c r="AI209">
        <v>2</v>
      </c>
      <c r="AJ209">
        <v>2</v>
      </c>
      <c r="AK209">
        <v>2</v>
      </c>
      <c r="AL209">
        <v>2</v>
      </c>
      <c r="AM209">
        <v>2</v>
      </c>
      <c r="AN209">
        <v>2</v>
      </c>
      <c r="AO209">
        <v>2</v>
      </c>
      <c r="AP209">
        <v>2</v>
      </c>
      <c r="AQ209">
        <v>2</v>
      </c>
      <c r="AR209">
        <v>2</v>
      </c>
      <c r="AS209">
        <v>2</v>
      </c>
      <c r="AT209">
        <v>2</v>
      </c>
      <c r="AU209">
        <v>2</v>
      </c>
      <c r="AV209">
        <v>2</v>
      </c>
      <c r="AW209">
        <v>2</v>
      </c>
      <c r="AX209">
        <v>2</v>
      </c>
      <c r="AY209">
        <v>2</v>
      </c>
      <c r="AZ209"/>
      <c r="BA209">
        <v>2</v>
      </c>
      <c r="BB209">
        <v>2</v>
      </c>
      <c r="BC209">
        <v>2</v>
      </c>
      <c r="BD209">
        <v>2</v>
      </c>
      <c r="BE209">
        <v>2</v>
      </c>
      <c r="BF209">
        <v>2</v>
      </c>
      <c r="BG209">
        <v>2</v>
      </c>
      <c r="BH209">
        <v>2</v>
      </c>
      <c r="BI209">
        <v>2</v>
      </c>
      <c r="BJ209">
        <v>2</v>
      </c>
      <c r="BK209">
        <v>2</v>
      </c>
      <c r="BL209">
        <v>2</v>
      </c>
      <c r="BM209">
        <v>2</v>
      </c>
      <c r="BN209">
        <v>2</v>
      </c>
      <c r="BO209">
        <v>2</v>
      </c>
      <c r="BP209">
        <v>2</v>
      </c>
      <c r="BQ209">
        <v>2</v>
      </c>
      <c r="BR209">
        <v>2</v>
      </c>
      <c r="BS209" s="553">
        <v>2</v>
      </c>
      <c r="BT209" s="553">
        <v>2</v>
      </c>
      <c r="BU209" s="553">
        <v>2</v>
      </c>
      <c r="BV209" s="553">
        <v>2</v>
      </c>
      <c r="BW209" s="553">
        <v>2</v>
      </c>
      <c r="BX209" s="553">
        <v>2</v>
      </c>
      <c r="BY209" s="553">
        <v>2</v>
      </c>
      <c r="BZ209" s="553">
        <v>2</v>
      </c>
      <c r="CA209" s="553">
        <v>2</v>
      </c>
      <c r="CB209" s="553">
        <v>2</v>
      </c>
      <c r="CC209" s="553">
        <v>2</v>
      </c>
      <c r="CD209" s="553">
        <v>2</v>
      </c>
    </row>
    <row r="210" spans="1:99" s="558" customFormat="1" x14ac:dyDescent="0.3">
      <c r="A210">
        <v>955</v>
      </c>
      <c r="B210" t="s">
        <v>929</v>
      </c>
      <c r="C210"/>
      <c r="D210"/>
      <c r="E210">
        <v>0</v>
      </c>
      <c r="F210">
        <v>0</v>
      </c>
      <c r="G210">
        <v>0</v>
      </c>
      <c r="H210">
        <v>0</v>
      </c>
      <c r="I210">
        <v>0</v>
      </c>
      <c r="J210">
        <v>0</v>
      </c>
      <c r="K210">
        <v>0</v>
      </c>
      <c r="L210">
        <v>0</v>
      </c>
      <c r="M210">
        <v>1</v>
      </c>
      <c r="N210">
        <v>0</v>
      </c>
      <c r="O210">
        <v>0</v>
      </c>
      <c r="P210">
        <v>0</v>
      </c>
      <c r="Q210">
        <v>0</v>
      </c>
      <c r="R210">
        <v>1</v>
      </c>
      <c r="S210">
        <v>3</v>
      </c>
      <c r="T210">
        <v>1</v>
      </c>
      <c r="U210">
        <v>0</v>
      </c>
      <c r="V210">
        <v>0</v>
      </c>
      <c r="W210">
        <v>0</v>
      </c>
      <c r="X210">
        <v>0</v>
      </c>
      <c r="Y210">
        <v>1</v>
      </c>
      <c r="Z210">
        <v>0</v>
      </c>
      <c r="AA210">
        <v>0</v>
      </c>
      <c r="AB210">
        <v>1</v>
      </c>
      <c r="AC210">
        <v>0</v>
      </c>
      <c r="AD210">
        <v>0</v>
      </c>
      <c r="AE210"/>
      <c r="AF210">
        <v>0</v>
      </c>
      <c r="AG210">
        <v>0</v>
      </c>
      <c r="AH210">
        <v>2</v>
      </c>
      <c r="AI210">
        <v>0</v>
      </c>
      <c r="AJ210">
        <v>0</v>
      </c>
      <c r="AK210">
        <v>0</v>
      </c>
      <c r="AL210">
        <v>0</v>
      </c>
      <c r="AM210">
        <v>1</v>
      </c>
      <c r="AN210">
        <v>0</v>
      </c>
      <c r="AO210">
        <v>0</v>
      </c>
      <c r="AP210">
        <v>0</v>
      </c>
      <c r="AQ210">
        <v>0</v>
      </c>
      <c r="AR210">
        <v>0</v>
      </c>
      <c r="AS210">
        <v>1</v>
      </c>
      <c r="AT210">
        <v>0</v>
      </c>
      <c r="AU210">
        <v>0</v>
      </c>
      <c r="AV210">
        <v>0</v>
      </c>
      <c r="AW210">
        <v>1</v>
      </c>
      <c r="AX210">
        <v>1</v>
      </c>
      <c r="AY210">
        <v>1</v>
      </c>
      <c r="AZ210"/>
      <c r="BA210">
        <v>4</v>
      </c>
      <c r="BB210">
        <v>0</v>
      </c>
      <c r="BC210">
        <v>0</v>
      </c>
      <c r="BD210">
        <v>1</v>
      </c>
      <c r="BE210">
        <v>0</v>
      </c>
      <c r="BF210">
        <v>0</v>
      </c>
      <c r="BG210">
        <v>0</v>
      </c>
      <c r="BH210">
        <v>0</v>
      </c>
      <c r="BI210">
        <v>0</v>
      </c>
      <c r="BJ210">
        <v>0</v>
      </c>
      <c r="BK210">
        <v>0</v>
      </c>
      <c r="BL210">
        <v>0</v>
      </c>
      <c r="BM210">
        <v>0</v>
      </c>
      <c r="BN210">
        <v>0</v>
      </c>
      <c r="BO210">
        <v>0</v>
      </c>
      <c r="BP210">
        <v>1</v>
      </c>
      <c r="BQ210">
        <v>0</v>
      </c>
      <c r="BR210">
        <v>1</v>
      </c>
      <c r="BS210" s="558">
        <v>2</v>
      </c>
      <c r="BT210" s="558">
        <v>0</v>
      </c>
      <c r="BU210" s="558">
        <v>3</v>
      </c>
      <c r="BV210" s="558">
        <v>0</v>
      </c>
      <c r="BW210" s="558">
        <v>0</v>
      </c>
      <c r="BX210" s="558">
        <v>0</v>
      </c>
      <c r="BY210" s="558">
        <v>0</v>
      </c>
      <c r="BZ210" s="558">
        <v>5</v>
      </c>
      <c r="CA210" s="558">
        <v>0</v>
      </c>
      <c r="CB210" s="558">
        <v>0</v>
      </c>
      <c r="CC210" s="558">
        <v>0</v>
      </c>
      <c r="CD210" s="558">
        <v>0</v>
      </c>
    </row>
    <row r="211" spans="1:99" s="553" customFormat="1" x14ac:dyDescent="0.3">
      <c r="A211">
        <v>957</v>
      </c>
      <c r="B211" t="s">
        <v>930</v>
      </c>
      <c r="C211"/>
      <c r="D211"/>
      <c r="E211">
        <v>1</v>
      </c>
      <c r="F211">
        <v>0</v>
      </c>
      <c r="G211">
        <v>0</v>
      </c>
      <c r="H211">
        <v>0</v>
      </c>
      <c r="I211">
        <v>0</v>
      </c>
      <c r="J211">
        <v>0</v>
      </c>
      <c r="K211">
        <v>0</v>
      </c>
      <c r="L211">
        <v>0</v>
      </c>
      <c r="M211">
        <v>0</v>
      </c>
      <c r="N211">
        <v>0</v>
      </c>
      <c r="O211">
        <v>0</v>
      </c>
      <c r="P211">
        <v>0</v>
      </c>
      <c r="Q211">
        <v>0</v>
      </c>
      <c r="R211">
        <v>0</v>
      </c>
      <c r="S211">
        <v>0</v>
      </c>
      <c r="T211">
        <v>0</v>
      </c>
      <c r="U211">
        <v>0</v>
      </c>
      <c r="V211">
        <v>1</v>
      </c>
      <c r="W211">
        <v>0</v>
      </c>
      <c r="X211">
        <v>0</v>
      </c>
      <c r="Y211">
        <v>1</v>
      </c>
      <c r="Z211">
        <v>0</v>
      </c>
      <c r="AA211">
        <v>0</v>
      </c>
      <c r="AB211">
        <v>0</v>
      </c>
      <c r="AC211">
        <v>0</v>
      </c>
      <c r="AD211">
        <v>0</v>
      </c>
      <c r="AE211"/>
      <c r="AF211">
        <v>0</v>
      </c>
      <c r="AG211">
        <v>0</v>
      </c>
      <c r="AH211">
        <v>1</v>
      </c>
      <c r="AI211">
        <v>0</v>
      </c>
      <c r="AJ211">
        <v>0</v>
      </c>
      <c r="AK211">
        <v>3</v>
      </c>
      <c r="AL211">
        <v>0</v>
      </c>
      <c r="AM211">
        <v>1</v>
      </c>
      <c r="AN211">
        <v>0</v>
      </c>
      <c r="AO211">
        <v>0</v>
      </c>
      <c r="AP211">
        <v>0</v>
      </c>
      <c r="AQ211">
        <v>0</v>
      </c>
      <c r="AR211">
        <v>0</v>
      </c>
      <c r="AS211">
        <v>0</v>
      </c>
      <c r="AT211">
        <v>0</v>
      </c>
      <c r="AU211">
        <v>0</v>
      </c>
      <c r="AV211">
        <v>0</v>
      </c>
      <c r="AW211">
        <v>0</v>
      </c>
      <c r="AX211">
        <v>1</v>
      </c>
      <c r="AY211">
        <v>0</v>
      </c>
      <c r="AZ211"/>
      <c r="BA211">
        <v>0</v>
      </c>
      <c r="BB211">
        <v>0</v>
      </c>
      <c r="BC211">
        <v>0</v>
      </c>
      <c r="BD211">
        <v>0</v>
      </c>
      <c r="BE211">
        <v>0</v>
      </c>
      <c r="BF211">
        <v>0</v>
      </c>
      <c r="BG211">
        <v>0</v>
      </c>
      <c r="BH211">
        <v>0</v>
      </c>
      <c r="BI211">
        <v>2</v>
      </c>
      <c r="BJ211">
        <v>0</v>
      </c>
      <c r="BK211">
        <v>0</v>
      </c>
      <c r="BL211">
        <v>0</v>
      </c>
      <c r="BM211">
        <v>0</v>
      </c>
      <c r="BN211">
        <v>1</v>
      </c>
      <c r="BO211">
        <v>2</v>
      </c>
      <c r="BP211">
        <v>0</v>
      </c>
      <c r="BQ211">
        <v>0</v>
      </c>
      <c r="BR211">
        <v>1</v>
      </c>
      <c r="BS211" s="553">
        <v>0</v>
      </c>
      <c r="BT211" s="553">
        <v>1</v>
      </c>
      <c r="BU211" s="553">
        <v>0</v>
      </c>
      <c r="BV211" s="553">
        <v>0</v>
      </c>
      <c r="BW211" s="553">
        <v>0</v>
      </c>
      <c r="BX211" s="553">
        <v>0</v>
      </c>
      <c r="BY211" s="553">
        <v>0</v>
      </c>
      <c r="BZ211" s="553">
        <v>0</v>
      </c>
      <c r="CA211" s="553">
        <v>0</v>
      </c>
      <c r="CB211" s="553">
        <v>0</v>
      </c>
      <c r="CC211" s="553">
        <v>0</v>
      </c>
      <c r="CD211" s="553">
        <v>0</v>
      </c>
    </row>
    <row r="212" spans="1:99" s="558" customFormat="1" x14ac:dyDescent="0.3">
      <c r="A212">
        <v>959</v>
      </c>
      <c r="B212" t="s">
        <v>932</v>
      </c>
      <c r="C212"/>
      <c r="D212"/>
      <c r="E212">
        <v>2</v>
      </c>
      <c r="F212">
        <v>2</v>
      </c>
      <c r="G212">
        <v>2</v>
      </c>
      <c r="H212">
        <v>2</v>
      </c>
      <c r="I212">
        <v>2</v>
      </c>
      <c r="J212">
        <v>3</v>
      </c>
      <c r="K212">
        <v>2</v>
      </c>
      <c r="L212">
        <v>2</v>
      </c>
      <c r="M212">
        <v>2</v>
      </c>
      <c r="N212">
        <v>3</v>
      </c>
      <c r="O212">
        <v>2</v>
      </c>
      <c r="P212">
        <v>3</v>
      </c>
      <c r="Q212">
        <v>2</v>
      </c>
      <c r="R212">
        <v>3</v>
      </c>
      <c r="S212">
        <v>2</v>
      </c>
      <c r="T212">
        <v>2</v>
      </c>
      <c r="U212">
        <v>2</v>
      </c>
      <c r="V212">
        <v>2</v>
      </c>
      <c r="W212">
        <v>2</v>
      </c>
      <c r="X212">
        <v>3</v>
      </c>
      <c r="Y212">
        <v>2</v>
      </c>
      <c r="Z212">
        <v>2</v>
      </c>
      <c r="AA212">
        <v>3</v>
      </c>
      <c r="AB212">
        <v>2</v>
      </c>
      <c r="AC212">
        <v>2</v>
      </c>
      <c r="AD212">
        <v>2</v>
      </c>
      <c r="AE212"/>
      <c r="AF212">
        <v>2</v>
      </c>
      <c r="AG212">
        <v>3</v>
      </c>
      <c r="AH212">
        <v>3</v>
      </c>
      <c r="AI212">
        <v>2</v>
      </c>
      <c r="AJ212">
        <v>2</v>
      </c>
      <c r="AK212">
        <v>2</v>
      </c>
      <c r="AL212">
        <v>2</v>
      </c>
      <c r="AM212">
        <v>2</v>
      </c>
      <c r="AN212">
        <v>2</v>
      </c>
      <c r="AO212">
        <v>3</v>
      </c>
      <c r="AP212">
        <v>2</v>
      </c>
      <c r="AQ212">
        <v>2</v>
      </c>
      <c r="AR212">
        <v>3</v>
      </c>
      <c r="AS212">
        <v>2</v>
      </c>
      <c r="AT212">
        <v>2</v>
      </c>
      <c r="AU212">
        <v>2</v>
      </c>
      <c r="AV212">
        <v>2</v>
      </c>
      <c r="AW212">
        <v>2</v>
      </c>
      <c r="AX212">
        <v>2</v>
      </c>
      <c r="AY212">
        <v>2</v>
      </c>
      <c r="AZ212"/>
      <c r="BA212">
        <v>3</v>
      </c>
      <c r="BB212">
        <v>3</v>
      </c>
      <c r="BC212">
        <v>2</v>
      </c>
      <c r="BD212">
        <v>2</v>
      </c>
      <c r="BE212">
        <v>2</v>
      </c>
      <c r="BF212">
        <v>2</v>
      </c>
      <c r="BG212">
        <v>3</v>
      </c>
      <c r="BH212">
        <v>2</v>
      </c>
      <c r="BI212">
        <v>2</v>
      </c>
      <c r="BJ212">
        <v>2</v>
      </c>
      <c r="BK212">
        <v>3</v>
      </c>
      <c r="BL212">
        <v>2</v>
      </c>
      <c r="BM212">
        <v>2</v>
      </c>
      <c r="BN212">
        <v>2</v>
      </c>
      <c r="BO212">
        <v>2</v>
      </c>
      <c r="BP212">
        <v>2</v>
      </c>
      <c r="BQ212">
        <v>2</v>
      </c>
      <c r="BR212">
        <v>2</v>
      </c>
      <c r="BS212" s="558">
        <v>3</v>
      </c>
      <c r="BT212" s="558">
        <v>2</v>
      </c>
      <c r="BU212" s="558">
        <v>2</v>
      </c>
      <c r="BV212" s="558">
        <v>3</v>
      </c>
      <c r="BW212" s="558">
        <v>2</v>
      </c>
      <c r="BX212" s="558">
        <v>2</v>
      </c>
      <c r="BY212" s="558">
        <v>3</v>
      </c>
      <c r="BZ212" s="558">
        <v>2</v>
      </c>
      <c r="CA212" s="558">
        <v>2</v>
      </c>
      <c r="CB212" s="558">
        <v>2</v>
      </c>
      <c r="CC212" s="558">
        <v>2</v>
      </c>
      <c r="CD212" s="558">
        <v>2</v>
      </c>
    </row>
    <row r="213" spans="1:99" s="553" customFormat="1" x14ac:dyDescent="0.3">
      <c r="A213">
        <v>960</v>
      </c>
      <c r="B213" t="s">
        <v>933</v>
      </c>
      <c r="C213"/>
      <c r="D213"/>
      <c r="E213" t="s">
        <v>2238</v>
      </c>
      <c r="F213" t="s">
        <v>2239</v>
      </c>
      <c r="G213" t="s">
        <v>2240</v>
      </c>
      <c r="H213" t="s">
        <v>2241</v>
      </c>
      <c r="I213" t="s">
        <v>2242</v>
      </c>
      <c r="J213" t="s">
        <v>2243</v>
      </c>
      <c r="K213" t="s">
        <v>2244</v>
      </c>
      <c r="L213" t="s">
        <v>2245</v>
      </c>
      <c r="M213" t="s">
        <v>2246</v>
      </c>
      <c r="N213" t="s">
        <v>2247</v>
      </c>
      <c r="O213" t="s">
        <v>2602</v>
      </c>
      <c r="P213" t="s">
        <v>2249</v>
      </c>
      <c r="Q213" t="s">
        <v>2250</v>
      </c>
      <c r="R213" t="s">
        <v>2251</v>
      </c>
      <c r="S213" t="s">
        <v>2252</v>
      </c>
      <c r="T213" t="s">
        <v>2253</v>
      </c>
      <c r="U213" t="s">
        <v>2254</v>
      </c>
      <c r="V213" t="s">
        <v>2255</v>
      </c>
      <c r="W213" t="s">
        <v>2256</v>
      </c>
      <c r="X213" t="s">
        <v>2257</v>
      </c>
      <c r="Y213" t="s">
        <v>2603</v>
      </c>
      <c r="Z213" t="s">
        <v>2604</v>
      </c>
      <c r="AA213" t="s">
        <v>2605</v>
      </c>
      <c r="AB213" t="s">
        <v>2606</v>
      </c>
      <c r="AC213" t="s">
        <v>2262</v>
      </c>
      <c r="AD213" t="s">
        <v>2607</v>
      </c>
      <c r="AE213"/>
      <c r="AF213" t="s">
        <v>2264</v>
      </c>
      <c r="AG213" t="s">
        <v>2265</v>
      </c>
      <c r="AH213" t="s">
        <v>2266</v>
      </c>
      <c r="AI213" t="s">
        <v>2267</v>
      </c>
      <c r="AJ213" t="s">
        <v>2608</v>
      </c>
      <c r="AK213" t="s">
        <v>2609</v>
      </c>
      <c r="AL213" t="s">
        <v>2270</v>
      </c>
      <c r="AM213" t="s">
        <v>2271</v>
      </c>
      <c r="AN213" t="s">
        <v>2610</v>
      </c>
      <c r="AO213" t="s">
        <v>2273</v>
      </c>
      <c r="AP213" t="s">
        <v>2274</v>
      </c>
      <c r="AQ213" t="s">
        <v>2275</v>
      </c>
      <c r="AR213" t="s">
        <v>2276</v>
      </c>
      <c r="AS213" t="s">
        <v>2277</v>
      </c>
      <c r="AT213" t="s">
        <v>2278</v>
      </c>
      <c r="AU213" t="s">
        <v>2279</v>
      </c>
      <c r="AV213" t="s">
        <v>2611</v>
      </c>
      <c r="AW213" t="s">
        <v>2281</v>
      </c>
      <c r="AX213" t="s">
        <v>2282</v>
      </c>
      <c r="AY213" t="s">
        <v>2283</v>
      </c>
      <c r="AZ213"/>
      <c r="BA213" t="s">
        <v>2285</v>
      </c>
      <c r="BB213" t="s">
        <v>2286</v>
      </c>
      <c r="BC213" t="s">
        <v>2287</v>
      </c>
      <c r="BD213" t="s">
        <v>2288</v>
      </c>
      <c r="BE213" t="s">
        <v>2289</v>
      </c>
      <c r="BF213" t="s">
        <v>2612</v>
      </c>
      <c r="BG213" t="s">
        <v>2291</v>
      </c>
      <c r="BH213" t="s">
        <v>2613</v>
      </c>
      <c r="BI213" t="s">
        <v>2293</v>
      </c>
      <c r="BJ213" t="s">
        <v>2294</v>
      </c>
      <c r="BK213" t="s">
        <v>2295</v>
      </c>
      <c r="BL213" t="s">
        <v>2296</v>
      </c>
      <c r="BM213" t="s">
        <v>2614</v>
      </c>
      <c r="BN213" t="s">
        <v>2298</v>
      </c>
      <c r="BO213" t="s">
        <v>2299</v>
      </c>
      <c r="BP213" t="s">
        <v>2300</v>
      </c>
      <c r="BQ213" t="s">
        <v>2301</v>
      </c>
      <c r="BR213" t="s">
        <v>2302</v>
      </c>
      <c r="BS213" s="553" t="s">
        <v>2303</v>
      </c>
      <c r="BT213" s="553" t="s">
        <v>2304</v>
      </c>
      <c r="BU213" s="553" t="s">
        <v>2305</v>
      </c>
      <c r="BV213" s="553" t="s">
        <v>2306</v>
      </c>
      <c r="BW213" s="553" t="s">
        <v>2615</v>
      </c>
      <c r="BX213" s="553" t="s">
        <v>2308</v>
      </c>
      <c r="BY213" s="553" t="s">
        <v>2616</v>
      </c>
      <c r="BZ213" s="553" t="s">
        <v>2617</v>
      </c>
      <c r="CA213" s="553" t="s">
        <v>2311</v>
      </c>
      <c r="CB213" s="553" t="s">
        <v>2312</v>
      </c>
      <c r="CC213" s="553" t="s">
        <v>2313</v>
      </c>
      <c r="CD213" s="553" t="s">
        <v>2314</v>
      </c>
    </row>
    <row r="214" spans="1:99" s="558" customFormat="1" x14ac:dyDescent="0.3">
      <c r="A214">
        <v>962</v>
      </c>
      <c r="B214" t="s">
        <v>934</v>
      </c>
      <c r="C214"/>
      <c r="D214"/>
      <c r="E214" t="s">
        <v>936</v>
      </c>
      <c r="F214" t="s">
        <v>936</v>
      </c>
      <c r="G214" t="s">
        <v>938</v>
      </c>
      <c r="H214" t="s">
        <v>936</v>
      </c>
      <c r="I214" t="s">
        <v>2618</v>
      </c>
      <c r="J214" t="s">
        <v>938</v>
      </c>
      <c r="K214" t="s">
        <v>2318</v>
      </c>
      <c r="L214" t="s">
        <v>936</v>
      </c>
      <c r="M214" t="s">
        <v>1995</v>
      </c>
      <c r="N214" t="s">
        <v>936</v>
      </c>
      <c r="O214" t="s">
        <v>2319</v>
      </c>
      <c r="P214" t="s">
        <v>936</v>
      </c>
      <c r="Q214" t="s">
        <v>936</v>
      </c>
      <c r="R214" t="s">
        <v>936</v>
      </c>
      <c r="S214" t="s">
        <v>2320</v>
      </c>
      <c r="T214" t="s">
        <v>938</v>
      </c>
      <c r="U214" t="s">
        <v>936</v>
      </c>
      <c r="V214" t="s">
        <v>936</v>
      </c>
      <c r="W214" t="s">
        <v>936</v>
      </c>
      <c r="X214" t="s">
        <v>936</v>
      </c>
      <c r="Y214" t="s">
        <v>936</v>
      </c>
      <c r="Z214" t="s">
        <v>935</v>
      </c>
      <c r="AA214" t="s">
        <v>936</v>
      </c>
      <c r="AB214" t="s">
        <v>2315</v>
      </c>
      <c r="AC214" t="s">
        <v>935</v>
      </c>
      <c r="AD214" t="s">
        <v>937</v>
      </c>
      <c r="AE214"/>
      <c r="AF214" t="s">
        <v>2321</v>
      </c>
      <c r="AG214" t="s">
        <v>936</v>
      </c>
      <c r="AH214" t="s">
        <v>936</v>
      </c>
      <c r="AI214" t="s">
        <v>936</v>
      </c>
      <c r="AJ214" t="s">
        <v>2619</v>
      </c>
      <c r="AK214" t="s">
        <v>2320</v>
      </c>
      <c r="AL214" t="s">
        <v>935</v>
      </c>
      <c r="AM214" t="s">
        <v>938</v>
      </c>
      <c r="AN214" t="s">
        <v>1994</v>
      </c>
      <c r="AO214" t="s">
        <v>936</v>
      </c>
      <c r="AP214" t="s">
        <v>935</v>
      </c>
      <c r="AQ214" t="s">
        <v>936</v>
      </c>
      <c r="AR214" t="s">
        <v>936</v>
      </c>
      <c r="AS214" t="s">
        <v>1057</v>
      </c>
      <c r="AT214" t="s">
        <v>2323</v>
      </c>
      <c r="AU214" t="s">
        <v>935</v>
      </c>
      <c r="AV214" t="s">
        <v>2321</v>
      </c>
      <c r="AW214" t="s">
        <v>936</v>
      </c>
      <c r="AX214" t="s">
        <v>2325</v>
      </c>
      <c r="AY214" t="s">
        <v>936</v>
      </c>
      <c r="AZ214"/>
      <c r="BA214" t="s">
        <v>936</v>
      </c>
      <c r="BB214" t="s">
        <v>936</v>
      </c>
      <c r="BC214" t="s">
        <v>936</v>
      </c>
      <c r="BD214" t="s">
        <v>1600</v>
      </c>
      <c r="BE214" t="s">
        <v>936</v>
      </c>
      <c r="BF214" t="s">
        <v>935</v>
      </c>
      <c r="BG214" t="s">
        <v>936</v>
      </c>
      <c r="BH214" t="s">
        <v>2620</v>
      </c>
      <c r="BI214" t="s">
        <v>935</v>
      </c>
      <c r="BJ214" t="s">
        <v>936</v>
      </c>
      <c r="BK214" t="s">
        <v>936</v>
      </c>
      <c r="BL214" t="s">
        <v>935</v>
      </c>
      <c r="BM214" t="s">
        <v>935</v>
      </c>
      <c r="BN214" t="s">
        <v>936</v>
      </c>
      <c r="BO214" t="s">
        <v>936</v>
      </c>
      <c r="BP214" t="s">
        <v>2324</v>
      </c>
      <c r="BQ214" t="s">
        <v>936</v>
      </c>
      <c r="BR214" t="s">
        <v>935</v>
      </c>
      <c r="BS214" s="558" t="s">
        <v>935</v>
      </c>
      <c r="BT214" s="558" t="s">
        <v>935</v>
      </c>
      <c r="BU214" s="558" t="s">
        <v>938</v>
      </c>
      <c r="BV214" s="558" t="s">
        <v>936</v>
      </c>
      <c r="BW214" s="558" t="s">
        <v>936</v>
      </c>
      <c r="BX214" s="558" t="s">
        <v>936</v>
      </c>
      <c r="BY214" s="558" t="s">
        <v>935</v>
      </c>
      <c r="BZ214" s="558" t="s">
        <v>1555</v>
      </c>
      <c r="CA214" s="558" t="s">
        <v>935</v>
      </c>
      <c r="CB214" s="558" t="s">
        <v>936</v>
      </c>
      <c r="CC214" s="558" t="s">
        <v>936</v>
      </c>
      <c r="CD214" s="558" t="s">
        <v>935</v>
      </c>
    </row>
    <row r="215" spans="1:99" s="553" customFormat="1" x14ac:dyDescent="0.3">
      <c r="A215">
        <v>964</v>
      </c>
      <c r="B215" t="s">
        <v>939</v>
      </c>
      <c r="C215"/>
      <c r="D215"/>
      <c r="E215" t="s">
        <v>2621</v>
      </c>
      <c r="F215" t="s">
        <v>1979</v>
      </c>
      <c r="G215" t="s">
        <v>2622</v>
      </c>
      <c r="H215" t="s">
        <v>2623</v>
      </c>
      <c r="I215" t="s">
        <v>2008</v>
      </c>
      <c r="J215" t="s">
        <v>2624</v>
      </c>
      <c r="K215" t="s">
        <v>2016</v>
      </c>
      <c r="L215" t="s">
        <v>2625</v>
      </c>
      <c r="M215" t="s">
        <v>2626</v>
      </c>
      <c r="N215" t="s">
        <v>1996</v>
      </c>
      <c r="O215" t="s">
        <v>2627</v>
      </c>
      <c r="P215" t="s">
        <v>2628</v>
      </c>
      <c r="Q215" t="s">
        <v>2055</v>
      </c>
      <c r="R215" t="s">
        <v>2002</v>
      </c>
      <c r="S215" t="s">
        <v>2629</v>
      </c>
      <c r="T215" t="s">
        <v>2000</v>
      </c>
      <c r="U215" t="s">
        <v>2055</v>
      </c>
      <c r="V215" t="s">
        <v>2624</v>
      </c>
      <c r="W215" t="s">
        <v>2014</v>
      </c>
      <c r="X215" t="s">
        <v>2013</v>
      </c>
      <c r="Y215" t="s">
        <v>2630</v>
      </c>
      <c r="Z215" t="s">
        <v>1997</v>
      </c>
      <c r="AA215" t="s">
        <v>2631</v>
      </c>
      <c r="AB215" t="s">
        <v>2632</v>
      </c>
      <c r="AC215" t="s">
        <v>2004</v>
      </c>
      <c r="AD215" t="s">
        <v>2633</v>
      </c>
      <c r="AE215"/>
      <c r="AF215" t="s">
        <v>1997</v>
      </c>
      <c r="AG215" t="s">
        <v>2003</v>
      </c>
      <c r="AH215" t="s">
        <v>2634</v>
      </c>
      <c r="AI215" t="s">
        <v>2635</v>
      </c>
      <c r="AJ215" t="s">
        <v>1997</v>
      </c>
      <c r="AK215" t="s">
        <v>2636</v>
      </c>
      <c r="AL215" t="s">
        <v>2637</v>
      </c>
      <c r="AM215" t="s">
        <v>2631</v>
      </c>
      <c r="AN215" t="s">
        <v>2002</v>
      </c>
      <c r="AO215" t="s">
        <v>2638</v>
      </c>
      <c r="AP215" t="s">
        <v>2639</v>
      </c>
      <c r="AQ215" t="s">
        <v>2624</v>
      </c>
      <c r="AR215" t="s">
        <v>2002</v>
      </c>
      <c r="AS215" t="s">
        <v>2640</v>
      </c>
      <c r="AT215" t="s">
        <v>1997</v>
      </c>
      <c r="AU215" t="s">
        <v>1997</v>
      </c>
      <c r="AV215" t="s">
        <v>2641</v>
      </c>
      <c r="AW215" t="s">
        <v>2015</v>
      </c>
      <c r="AX215" t="s">
        <v>2642</v>
      </c>
      <c r="AY215" t="s">
        <v>2016</v>
      </c>
      <c r="AZ215"/>
      <c r="BA215" t="s">
        <v>2643</v>
      </c>
      <c r="BB215" t="s">
        <v>2013</v>
      </c>
      <c r="BC215" t="s">
        <v>2624</v>
      </c>
      <c r="BD215" t="s">
        <v>2013</v>
      </c>
      <c r="BE215" t="s">
        <v>2017</v>
      </c>
      <c r="BF215" t="s">
        <v>2644</v>
      </c>
      <c r="BG215" t="s">
        <v>2625</v>
      </c>
      <c r="BH215" t="s">
        <v>2624</v>
      </c>
      <c r="BI215" t="s">
        <v>2594</v>
      </c>
      <c r="BJ215" t="s">
        <v>2645</v>
      </c>
      <c r="BK215" t="s">
        <v>2646</v>
      </c>
      <c r="BL215" t="s">
        <v>2016</v>
      </c>
      <c r="BM215" t="s">
        <v>1997</v>
      </c>
      <c r="BN215" t="s">
        <v>2639</v>
      </c>
      <c r="BO215" t="s">
        <v>2647</v>
      </c>
      <c r="BP215" t="s">
        <v>2000</v>
      </c>
      <c r="BQ215" t="s">
        <v>2015</v>
      </c>
      <c r="BR215" t="s">
        <v>2002</v>
      </c>
      <c r="BS215" s="553" t="s">
        <v>2648</v>
      </c>
      <c r="BT215" s="553" t="s">
        <v>2013</v>
      </c>
      <c r="BU215" s="553" t="s">
        <v>2001</v>
      </c>
      <c r="BV215" s="553" t="s">
        <v>2054</v>
      </c>
      <c r="BW215" s="553" t="s">
        <v>2006</v>
      </c>
      <c r="BX215" s="553" t="s">
        <v>2026</v>
      </c>
      <c r="BY215" s="553" t="s">
        <v>2648</v>
      </c>
      <c r="BZ215" s="553" t="s">
        <v>2649</v>
      </c>
      <c r="CA215" s="553" t="s">
        <v>2013</v>
      </c>
      <c r="CB215" s="553" t="s">
        <v>2010</v>
      </c>
      <c r="CC215" s="553" t="s">
        <v>1997</v>
      </c>
      <c r="CD215" s="553" t="s">
        <v>1975</v>
      </c>
    </row>
    <row r="216" spans="1:99" s="558" customFormat="1" x14ac:dyDescent="0.3">
      <c r="A216">
        <v>966</v>
      </c>
      <c r="B216" t="s">
        <v>940</v>
      </c>
      <c r="C216"/>
      <c r="D216"/>
      <c r="E216" t="s">
        <v>2650</v>
      </c>
      <c r="F216" t="s">
        <v>2357</v>
      </c>
      <c r="G216" t="s">
        <v>2358</v>
      </c>
      <c r="H216" t="s">
        <v>2359</v>
      </c>
      <c r="I216" t="s">
        <v>2360</v>
      </c>
      <c r="J216" t="s">
        <v>2361</v>
      </c>
      <c r="K216" t="s">
        <v>2362</v>
      </c>
      <c r="L216" t="s">
        <v>2363</v>
      </c>
      <c r="M216" t="s">
        <v>2651</v>
      </c>
      <c r="N216" t="s">
        <v>2365</v>
      </c>
      <c r="O216" t="s">
        <v>2366</v>
      </c>
      <c r="P216" t="s">
        <v>2367</v>
      </c>
      <c r="Q216" t="s">
        <v>2368</v>
      </c>
      <c r="R216" t="s">
        <v>2369</v>
      </c>
      <c r="S216" t="s">
        <v>2370</v>
      </c>
      <c r="T216" t="s">
        <v>2371</v>
      </c>
      <c r="U216" t="s">
        <v>2372</v>
      </c>
      <c r="V216" t="s">
        <v>2373</v>
      </c>
      <c r="W216" t="s">
        <v>2374</v>
      </c>
      <c r="X216" t="s">
        <v>2375</v>
      </c>
      <c r="Y216" t="s">
        <v>2376</v>
      </c>
      <c r="Z216" t="s">
        <v>2377</v>
      </c>
      <c r="AA216" t="s">
        <v>2378</v>
      </c>
      <c r="AB216"/>
      <c r="AC216" t="s">
        <v>2652</v>
      </c>
      <c r="AD216" t="s">
        <v>2381</v>
      </c>
      <c r="AE216"/>
      <c r="AF216" t="s">
        <v>2383</v>
      </c>
      <c r="AG216" t="s">
        <v>2384</v>
      </c>
      <c r="AH216" t="s">
        <v>2385</v>
      </c>
      <c r="AI216" t="s">
        <v>2386</v>
      </c>
      <c r="AJ216" t="s">
        <v>2387</v>
      </c>
      <c r="AK216" t="s">
        <v>2388</v>
      </c>
      <c r="AL216" t="s">
        <v>2389</v>
      </c>
      <c r="AM216"/>
      <c r="AN216" t="s">
        <v>2390</v>
      </c>
      <c r="AO216" t="s">
        <v>2391</v>
      </c>
      <c r="AP216" t="s">
        <v>2392</v>
      </c>
      <c r="AQ216" t="s">
        <v>2653</v>
      </c>
      <c r="AR216" t="s">
        <v>2394</v>
      </c>
      <c r="AS216" t="s">
        <v>2395</v>
      </c>
      <c r="AT216" t="s">
        <v>2396</v>
      </c>
      <c r="AU216" t="s">
        <v>2397</v>
      </c>
      <c r="AV216" t="s">
        <v>2654</v>
      </c>
      <c r="AW216" t="s">
        <v>2399</v>
      </c>
      <c r="AX216" t="s">
        <v>2400</v>
      </c>
      <c r="AY216" t="s">
        <v>2401</v>
      </c>
      <c r="AZ216"/>
      <c r="BA216" t="s">
        <v>2403</v>
      </c>
      <c r="BB216" t="s">
        <v>2404</v>
      </c>
      <c r="BC216" t="s">
        <v>2405</v>
      </c>
      <c r="BD216" t="s">
        <v>2655</v>
      </c>
      <c r="BE216" t="s">
        <v>2407</v>
      </c>
      <c r="BF216" t="s">
        <v>2408</v>
      </c>
      <c r="BG216" t="s">
        <v>2409</v>
      </c>
      <c r="BH216" t="s">
        <v>2410</v>
      </c>
      <c r="BI216" t="s">
        <v>2411</v>
      </c>
      <c r="BJ216" t="s">
        <v>2412</v>
      </c>
      <c r="BK216" t="s">
        <v>2413</v>
      </c>
      <c r="BL216" t="s">
        <v>2414</v>
      </c>
      <c r="BM216" t="s">
        <v>2656</v>
      </c>
      <c r="BN216" t="s">
        <v>2416</v>
      </c>
      <c r="BO216" t="s">
        <v>2417</v>
      </c>
      <c r="BP216" t="s">
        <v>2418</v>
      </c>
      <c r="BQ216" t="s">
        <v>2419</v>
      </c>
      <c r="BR216" t="s">
        <v>2420</v>
      </c>
      <c r="BS216" s="558" t="s">
        <v>2421</v>
      </c>
      <c r="BT216" s="558" t="s">
        <v>2422</v>
      </c>
      <c r="BU216" s="558" t="s">
        <v>2423</v>
      </c>
      <c r="BV216" s="558" t="s">
        <v>2424</v>
      </c>
      <c r="BW216" s="558" t="s">
        <v>2657</v>
      </c>
      <c r="BX216" s="558" t="s">
        <v>2426</v>
      </c>
      <c r="BY216" s="558" t="s">
        <v>2427</v>
      </c>
      <c r="BZ216" s="558" t="s">
        <v>2658</v>
      </c>
      <c r="CA216" s="558" t="s">
        <v>2659</v>
      </c>
      <c r="CB216" s="558" t="s">
        <v>2430</v>
      </c>
      <c r="CC216" s="558" t="s">
        <v>2431</v>
      </c>
      <c r="CD216" s="558" t="s">
        <v>2432</v>
      </c>
    </row>
    <row r="217" spans="1:99" s="553" customFormat="1" x14ac:dyDescent="0.3">
      <c r="A217">
        <v>968</v>
      </c>
      <c r="B217" t="s">
        <v>941</v>
      </c>
      <c r="C217"/>
      <c r="D217"/>
      <c r="E217" t="s">
        <v>2660</v>
      </c>
      <c r="F217" t="s">
        <v>2435</v>
      </c>
      <c r="G217" t="s">
        <v>2661</v>
      </c>
      <c r="H217" t="s">
        <v>2437</v>
      </c>
      <c r="I217" t="s">
        <v>2438</v>
      </c>
      <c r="J217" t="s">
        <v>2439</v>
      </c>
      <c r="K217" t="s">
        <v>2440</v>
      </c>
      <c r="L217" t="s">
        <v>2441</v>
      </c>
      <c r="M217" t="s">
        <v>2662</v>
      </c>
      <c r="N217" t="s">
        <v>2443</v>
      </c>
      <c r="O217" t="s">
        <v>2444</v>
      </c>
      <c r="P217" t="s">
        <v>2445</v>
      </c>
      <c r="Q217" t="s">
        <v>2663</v>
      </c>
      <c r="R217" t="s">
        <v>2447</v>
      </c>
      <c r="S217" t="s">
        <v>2448</v>
      </c>
      <c r="T217" t="s">
        <v>2449</v>
      </c>
      <c r="U217" t="s">
        <v>2450</v>
      </c>
      <c r="V217" t="s">
        <v>2451</v>
      </c>
      <c r="W217" t="s">
        <v>2664</v>
      </c>
      <c r="X217" t="s">
        <v>2453</v>
      </c>
      <c r="Y217" t="s">
        <v>2665</v>
      </c>
      <c r="Z217" t="s">
        <v>2455</v>
      </c>
      <c r="AA217" t="s">
        <v>2666</v>
      </c>
      <c r="AB217" t="s">
        <v>2667</v>
      </c>
      <c r="AC217" t="s">
        <v>2458</v>
      </c>
      <c r="AD217" t="s">
        <v>2459</v>
      </c>
      <c r="AE217"/>
      <c r="AF217" t="s">
        <v>2461</v>
      </c>
      <c r="AG217" t="s">
        <v>2462</v>
      </c>
      <c r="AH217" t="s">
        <v>2463</v>
      </c>
      <c r="AI217" t="s">
        <v>2464</v>
      </c>
      <c r="AJ217" t="s">
        <v>2668</v>
      </c>
      <c r="AK217" t="s">
        <v>2669</v>
      </c>
      <c r="AL217" t="s">
        <v>2467</v>
      </c>
      <c r="AM217" t="s">
        <v>2468</v>
      </c>
      <c r="AN217" t="s">
        <v>2670</v>
      </c>
      <c r="AO217" t="s">
        <v>2470</v>
      </c>
      <c r="AP217" t="s">
        <v>2471</v>
      </c>
      <c r="AQ217" t="s">
        <v>2472</v>
      </c>
      <c r="AR217" t="s">
        <v>2671</v>
      </c>
      <c r="AS217" t="s">
        <v>2474</v>
      </c>
      <c r="AT217" t="s">
        <v>2475</v>
      </c>
      <c r="AU217" t="s">
        <v>2672</v>
      </c>
      <c r="AV217" t="s">
        <v>2673</v>
      </c>
      <c r="AW217" t="s">
        <v>2478</v>
      </c>
      <c r="AX217" t="s">
        <v>2479</v>
      </c>
      <c r="AY217" t="s">
        <v>2674</v>
      </c>
      <c r="AZ217"/>
      <c r="BA217" t="s">
        <v>2482</v>
      </c>
      <c r="BB217" t="s">
        <v>2483</v>
      </c>
      <c r="BC217" t="s">
        <v>2484</v>
      </c>
      <c r="BD217" t="s">
        <v>2485</v>
      </c>
      <c r="BE217" t="s">
        <v>2675</v>
      </c>
      <c r="BF217" t="s">
        <v>2487</v>
      </c>
      <c r="BG217" t="s">
        <v>2488</v>
      </c>
      <c r="BH217" t="s">
        <v>2676</v>
      </c>
      <c r="BI217" t="s">
        <v>2490</v>
      </c>
      <c r="BJ217" t="s">
        <v>2491</v>
      </c>
      <c r="BK217" t="s">
        <v>2492</v>
      </c>
      <c r="BL217" t="s">
        <v>2493</v>
      </c>
      <c r="BM217" t="s">
        <v>2494</v>
      </c>
      <c r="BN217" t="s">
        <v>2495</v>
      </c>
      <c r="BO217" t="s">
        <v>2496</v>
      </c>
      <c r="BP217" t="s">
        <v>2497</v>
      </c>
      <c r="BQ217" t="s">
        <v>2677</v>
      </c>
      <c r="BR217" t="s">
        <v>2499</v>
      </c>
      <c r="BS217" s="553" t="s">
        <v>2500</v>
      </c>
      <c r="BT217" s="553" t="s">
        <v>2501</v>
      </c>
      <c r="BU217" s="553" t="s">
        <v>2502</v>
      </c>
      <c r="BV217" s="553" t="s">
        <v>2503</v>
      </c>
      <c r="BW217" s="553" t="s">
        <v>2678</v>
      </c>
      <c r="BX217" s="553" t="s">
        <v>2505</v>
      </c>
      <c r="BY217" s="553" t="s">
        <v>2679</v>
      </c>
      <c r="BZ217" s="553" t="s">
        <v>2680</v>
      </c>
      <c r="CA217" s="553" t="s">
        <v>2508</v>
      </c>
      <c r="CB217" s="553" t="s">
        <v>2509</v>
      </c>
      <c r="CC217" s="553" t="s">
        <v>2510</v>
      </c>
      <c r="CD217" s="553" t="s">
        <v>2511</v>
      </c>
    </row>
    <row r="218" spans="1:99" x14ac:dyDescent="0.3">
      <c r="A218">
        <v>973</v>
      </c>
      <c r="B218" t="s">
        <v>2018</v>
      </c>
      <c r="E218">
        <v>0</v>
      </c>
      <c r="F218">
        <v>0</v>
      </c>
      <c r="G218">
        <v>0</v>
      </c>
      <c r="H218">
        <v>0</v>
      </c>
      <c r="I218">
        <v>0</v>
      </c>
      <c r="J218">
        <v>0</v>
      </c>
      <c r="K218">
        <v>0</v>
      </c>
      <c r="L218">
        <v>0</v>
      </c>
      <c r="M218">
        <v>0</v>
      </c>
      <c r="N218">
        <v>0</v>
      </c>
      <c r="O218">
        <v>0</v>
      </c>
      <c r="P218">
        <v>0</v>
      </c>
      <c r="Q218">
        <v>1</v>
      </c>
      <c r="R218">
        <v>0</v>
      </c>
      <c r="S218">
        <v>0</v>
      </c>
      <c r="T218">
        <v>0</v>
      </c>
      <c r="U218">
        <v>0</v>
      </c>
      <c r="V218">
        <v>0</v>
      </c>
      <c r="W218">
        <v>0</v>
      </c>
      <c r="X218">
        <v>0</v>
      </c>
      <c r="Y218">
        <v>1</v>
      </c>
      <c r="Z218">
        <v>0</v>
      </c>
      <c r="AA218">
        <v>0</v>
      </c>
      <c r="AB218">
        <v>0</v>
      </c>
      <c r="AC218">
        <v>0</v>
      </c>
      <c r="AD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s="180">
        <v>0</v>
      </c>
      <c r="BT218" s="180">
        <v>0</v>
      </c>
      <c r="BU218" s="180">
        <v>0</v>
      </c>
      <c r="BV218" s="180">
        <v>1</v>
      </c>
      <c r="BW218" s="180">
        <v>0</v>
      </c>
      <c r="BX218" s="180">
        <v>0</v>
      </c>
      <c r="BY218" s="180">
        <v>0</v>
      </c>
      <c r="BZ218" s="180">
        <v>1</v>
      </c>
      <c r="CA218" s="180">
        <v>0</v>
      </c>
      <c r="CB218" s="180">
        <v>0</v>
      </c>
      <c r="CC218" s="180">
        <v>0</v>
      </c>
      <c r="CD218" s="180">
        <v>0</v>
      </c>
      <c r="CE218" s="180"/>
      <c r="CF218" s="180"/>
      <c r="CG218" s="180"/>
      <c r="CH218" s="180"/>
      <c r="CI218" s="180"/>
      <c r="CJ218" s="180"/>
      <c r="CK218" s="180"/>
      <c r="CL218" s="180"/>
      <c r="CM218" s="180"/>
      <c r="CN218" s="180"/>
      <c r="CO218" s="180"/>
      <c r="CP218" s="180"/>
      <c r="CQ218" s="180"/>
      <c r="CR218" s="180"/>
      <c r="CS218" s="180"/>
      <c r="CT218" s="180"/>
      <c r="CU218" s="180"/>
    </row>
    <row r="219" spans="1:99" x14ac:dyDescent="0.3">
      <c r="A219">
        <v>974</v>
      </c>
      <c r="B219" t="s">
        <v>942</v>
      </c>
      <c r="E219">
        <v>3</v>
      </c>
      <c r="F219">
        <v>2</v>
      </c>
      <c r="G219">
        <v>2</v>
      </c>
      <c r="H219">
        <v>3</v>
      </c>
      <c r="I219">
        <v>2</v>
      </c>
      <c r="J219">
        <v>3</v>
      </c>
      <c r="K219">
        <v>1</v>
      </c>
      <c r="L219">
        <v>2</v>
      </c>
      <c r="M219">
        <v>2</v>
      </c>
      <c r="N219">
        <v>3</v>
      </c>
      <c r="O219">
        <v>2</v>
      </c>
      <c r="P219">
        <v>3</v>
      </c>
      <c r="Q219">
        <v>2</v>
      </c>
      <c r="R219">
        <v>3</v>
      </c>
      <c r="S219">
        <v>2</v>
      </c>
      <c r="T219">
        <v>2</v>
      </c>
      <c r="U219">
        <v>2</v>
      </c>
      <c r="V219">
        <v>2</v>
      </c>
      <c r="W219">
        <v>2</v>
      </c>
      <c r="X219">
        <v>3</v>
      </c>
      <c r="Y219">
        <v>2</v>
      </c>
      <c r="Z219">
        <v>2</v>
      </c>
      <c r="AA219">
        <v>3</v>
      </c>
      <c r="AB219">
        <v>3</v>
      </c>
      <c r="AC219">
        <v>2</v>
      </c>
      <c r="AD219">
        <v>2</v>
      </c>
      <c r="AF219">
        <v>2</v>
      </c>
      <c r="AG219">
        <v>3</v>
      </c>
      <c r="AH219">
        <v>3</v>
      </c>
      <c r="AI219">
        <v>2</v>
      </c>
      <c r="AJ219">
        <v>2</v>
      </c>
      <c r="AK219">
        <v>2</v>
      </c>
      <c r="AL219">
        <v>2</v>
      </c>
      <c r="AM219">
        <v>2</v>
      </c>
      <c r="AN219">
        <v>2</v>
      </c>
      <c r="AO219">
        <v>3</v>
      </c>
      <c r="AP219">
        <v>2</v>
      </c>
      <c r="AQ219">
        <v>3</v>
      </c>
      <c r="AR219">
        <v>3</v>
      </c>
      <c r="AS219">
        <v>2</v>
      </c>
      <c r="AT219">
        <v>2</v>
      </c>
      <c r="AU219">
        <v>2</v>
      </c>
      <c r="AV219">
        <v>2</v>
      </c>
      <c r="AW219">
        <v>2</v>
      </c>
      <c r="AX219">
        <v>2</v>
      </c>
      <c r="AY219">
        <v>2</v>
      </c>
      <c r="BA219">
        <v>2</v>
      </c>
      <c r="BB219">
        <v>3</v>
      </c>
      <c r="BC219">
        <v>2</v>
      </c>
      <c r="BD219">
        <v>3</v>
      </c>
      <c r="BE219">
        <v>2</v>
      </c>
      <c r="BF219">
        <v>2</v>
      </c>
      <c r="BG219">
        <v>3</v>
      </c>
      <c r="BH219">
        <v>2</v>
      </c>
      <c r="BI219">
        <v>2</v>
      </c>
      <c r="BJ219">
        <v>3</v>
      </c>
      <c r="BK219">
        <v>3</v>
      </c>
      <c r="BL219">
        <v>2</v>
      </c>
      <c r="BM219">
        <v>2</v>
      </c>
      <c r="BN219">
        <v>2</v>
      </c>
      <c r="BO219">
        <v>2</v>
      </c>
      <c r="BP219">
        <v>2</v>
      </c>
      <c r="BQ219">
        <v>2</v>
      </c>
      <c r="BR219">
        <v>2</v>
      </c>
      <c r="BS219" s="180">
        <v>3</v>
      </c>
      <c r="BT219" s="180">
        <v>2</v>
      </c>
      <c r="BU219" s="180">
        <v>2</v>
      </c>
      <c r="BV219" s="180">
        <v>3</v>
      </c>
      <c r="BW219" s="180">
        <v>2</v>
      </c>
      <c r="BX219" s="180">
        <v>2</v>
      </c>
      <c r="BY219" s="180">
        <v>2</v>
      </c>
      <c r="BZ219" s="180">
        <v>2</v>
      </c>
      <c r="CA219" s="180">
        <v>2</v>
      </c>
      <c r="CB219" s="180">
        <v>2</v>
      </c>
      <c r="CC219" s="180">
        <v>2</v>
      </c>
      <c r="CD219" s="180">
        <v>2</v>
      </c>
      <c r="CE219" s="180"/>
      <c r="CF219" s="180"/>
      <c r="CG219" s="180"/>
      <c r="CH219" s="180"/>
      <c r="CI219" s="180"/>
      <c r="CJ219" s="180"/>
      <c r="CK219" s="180"/>
      <c r="CL219" s="180"/>
      <c r="CM219" s="180"/>
      <c r="CN219" s="180"/>
      <c r="CO219" s="180"/>
      <c r="CP219" s="180"/>
      <c r="CQ219" s="180"/>
      <c r="CR219" s="180"/>
      <c r="CS219" s="180"/>
      <c r="CT219" s="180"/>
      <c r="CU219" s="180"/>
    </row>
    <row r="220" spans="1:99" x14ac:dyDescent="0.3">
      <c r="A220">
        <v>975</v>
      </c>
      <c r="B220" t="s">
        <v>1890</v>
      </c>
      <c r="E220">
        <v>1</v>
      </c>
      <c r="F220">
        <v>2</v>
      </c>
      <c r="G220">
        <v>1</v>
      </c>
      <c r="H220">
        <v>2</v>
      </c>
      <c r="I220">
        <v>1</v>
      </c>
      <c r="J220">
        <v>2</v>
      </c>
      <c r="K220">
        <v>1</v>
      </c>
      <c r="L220">
        <v>1</v>
      </c>
      <c r="M220">
        <v>1</v>
      </c>
      <c r="N220">
        <v>1</v>
      </c>
      <c r="O220">
        <v>2</v>
      </c>
      <c r="P220">
        <v>2</v>
      </c>
      <c r="Q220">
        <v>1</v>
      </c>
      <c r="R220">
        <v>1</v>
      </c>
      <c r="S220">
        <v>1</v>
      </c>
      <c r="T220">
        <v>1</v>
      </c>
      <c r="U220">
        <v>1</v>
      </c>
      <c r="V220">
        <v>1</v>
      </c>
      <c r="W220">
        <v>2</v>
      </c>
      <c r="X220">
        <v>1</v>
      </c>
      <c r="Y220">
        <v>1</v>
      </c>
      <c r="Z220">
        <v>2</v>
      </c>
      <c r="AA220">
        <v>2</v>
      </c>
      <c r="AB220">
        <v>2</v>
      </c>
      <c r="AC220">
        <v>2</v>
      </c>
      <c r="AD220">
        <v>1</v>
      </c>
      <c r="AF220">
        <v>2</v>
      </c>
      <c r="AG220">
        <v>1</v>
      </c>
      <c r="AH220">
        <v>1</v>
      </c>
      <c r="AI220">
        <v>1</v>
      </c>
      <c r="AJ220">
        <v>1</v>
      </c>
      <c r="AK220">
        <v>1</v>
      </c>
      <c r="AL220">
        <v>1</v>
      </c>
      <c r="AM220">
        <v>1</v>
      </c>
      <c r="AN220">
        <v>2</v>
      </c>
      <c r="AO220">
        <v>2</v>
      </c>
      <c r="AP220">
        <v>1</v>
      </c>
      <c r="AQ220">
        <v>2</v>
      </c>
      <c r="AR220">
        <v>1</v>
      </c>
      <c r="AS220">
        <v>1</v>
      </c>
      <c r="AT220">
        <v>2</v>
      </c>
      <c r="AU220">
        <v>1</v>
      </c>
      <c r="AV220">
        <v>1</v>
      </c>
      <c r="AW220">
        <v>1</v>
      </c>
      <c r="AX220">
        <v>1</v>
      </c>
      <c r="AY220">
        <v>1</v>
      </c>
      <c r="BA220">
        <v>1</v>
      </c>
      <c r="BB220">
        <v>1</v>
      </c>
      <c r="BC220">
        <v>1</v>
      </c>
      <c r="BD220">
        <v>1</v>
      </c>
      <c r="BE220">
        <v>1</v>
      </c>
      <c r="BF220">
        <v>2</v>
      </c>
      <c r="BG220">
        <v>1</v>
      </c>
      <c r="BH220">
        <v>1</v>
      </c>
      <c r="BI220">
        <v>1</v>
      </c>
      <c r="BJ220">
        <v>2</v>
      </c>
      <c r="BK220">
        <v>1</v>
      </c>
      <c r="BL220">
        <v>1</v>
      </c>
      <c r="BM220">
        <v>2</v>
      </c>
      <c r="BN220">
        <v>1</v>
      </c>
      <c r="BO220">
        <v>1</v>
      </c>
      <c r="BP220">
        <v>1</v>
      </c>
      <c r="BQ220">
        <v>2</v>
      </c>
      <c r="BR220">
        <v>1</v>
      </c>
      <c r="BS220" s="180">
        <v>1</v>
      </c>
      <c r="BT220" s="180">
        <v>1</v>
      </c>
      <c r="BU220" s="180">
        <v>1</v>
      </c>
      <c r="BV220" s="180">
        <v>1</v>
      </c>
      <c r="BW220" s="180">
        <v>1</v>
      </c>
      <c r="BX220" s="180">
        <v>2</v>
      </c>
      <c r="BY220" s="180">
        <v>2</v>
      </c>
      <c r="BZ220" s="180">
        <v>1</v>
      </c>
      <c r="CA220" s="180">
        <v>1</v>
      </c>
      <c r="CB220" s="180">
        <v>1</v>
      </c>
      <c r="CC220" s="180">
        <v>2</v>
      </c>
      <c r="CD220" s="180">
        <v>2</v>
      </c>
      <c r="CE220" s="180"/>
      <c r="CF220" s="180"/>
      <c r="CG220" s="180"/>
      <c r="CH220" s="180"/>
      <c r="CI220" s="180"/>
      <c r="CJ220" s="180"/>
      <c r="CK220" s="180"/>
      <c r="CL220" s="180"/>
      <c r="CM220" s="180"/>
      <c r="CN220" s="180"/>
      <c r="CO220" s="180"/>
      <c r="CP220" s="180"/>
      <c r="CQ220" s="180"/>
      <c r="CR220" s="180"/>
      <c r="CS220" s="180"/>
      <c r="CT220" s="180"/>
      <c r="CU220" s="180"/>
    </row>
    <row r="221" spans="1:99" x14ac:dyDescent="0.3">
      <c r="A221">
        <v>980</v>
      </c>
      <c r="B221" t="s">
        <v>583</v>
      </c>
      <c r="E221" t="s">
        <v>2681</v>
      </c>
      <c r="F221" t="s">
        <v>2022</v>
      </c>
      <c r="G221" t="s">
        <v>1922</v>
      </c>
      <c r="H221" t="s">
        <v>1922</v>
      </c>
      <c r="I221" t="s">
        <v>2682</v>
      </c>
      <c r="J221" t="s">
        <v>2023</v>
      </c>
      <c r="K221" t="s">
        <v>2024</v>
      </c>
      <c r="L221" t="s">
        <v>2001</v>
      </c>
      <c r="M221" t="s">
        <v>2683</v>
      </c>
      <c r="N221" t="s">
        <v>2684</v>
      </c>
      <c r="O221" t="s">
        <v>2012</v>
      </c>
      <c r="P221" t="s">
        <v>2023</v>
      </c>
      <c r="Q221" t="s">
        <v>2055</v>
      </c>
      <c r="R221" t="s">
        <v>2021</v>
      </c>
      <c r="S221" t="s">
        <v>1978</v>
      </c>
      <c r="T221" t="s">
        <v>2012</v>
      </c>
      <c r="U221" t="s">
        <v>2007</v>
      </c>
      <c r="V221" t="s">
        <v>2055</v>
      </c>
      <c r="W221" t="s">
        <v>2014</v>
      </c>
      <c r="X221" t="s">
        <v>2685</v>
      </c>
      <c r="Y221" t="s">
        <v>2686</v>
      </c>
      <c r="Z221" t="s">
        <v>2055</v>
      </c>
      <c r="AA221" t="s">
        <v>2023</v>
      </c>
      <c r="AB221" t="s">
        <v>2687</v>
      </c>
      <c r="AC221" t="s">
        <v>2014</v>
      </c>
      <c r="AD221" t="s">
        <v>2056</v>
      </c>
      <c r="AF221" t="s">
        <v>2023</v>
      </c>
      <c r="AG221" t="s">
        <v>2003</v>
      </c>
      <c r="AH221" t="s">
        <v>2022</v>
      </c>
      <c r="AI221" t="s">
        <v>2688</v>
      </c>
      <c r="AJ221" t="s">
        <v>2011</v>
      </c>
      <c r="AK221" t="s">
        <v>1999</v>
      </c>
      <c r="AL221" t="s">
        <v>2689</v>
      </c>
      <c r="AM221" t="s">
        <v>2016</v>
      </c>
      <c r="AN221" t="s">
        <v>2023</v>
      </c>
      <c r="AO221" t="s">
        <v>2023</v>
      </c>
      <c r="AP221" t="s">
        <v>2055</v>
      </c>
      <c r="AQ221" t="s">
        <v>1975</v>
      </c>
      <c r="AR221" t="s">
        <v>2024</v>
      </c>
      <c r="AS221" t="s">
        <v>2690</v>
      </c>
      <c r="AT221" t="s">
        <v>2691</v>
      </c>
      <c r="AU221" t="s">
        <v>1922</v>
      </c>
      <c r="AV221" t="s">
        <v>2684</v>
      </c>
      <c r="AW221" t="s">
        <v>2022</v>
      </c>
      <c r="AX221" t="s">
        <v>1980</v>
      </c>
      <c r="AY221" t="s">
        <v>2001</v>
      </c>
      <c r="BA221" t="s">
        <v>2688</v>
      </c>
      <c r="BB221" t="s">
        <v>2022</v>
      </c>
      <c r="BC221" t="s">
        <v>2645</v>
      </c>
      <c r="BD221" t="s">
        <v>1983</v>
      </c>
      <c r="BE221" t="s">
        <v>2692</v>
      </c>
      <c r="BF221" t="s">
        <v>2023</v>
      </c>
      <c r="BG221" t="s">
        <v>2693</v>
      </c>
      <c r="BH221" t="s">
        <v>2639</v>
      </c>
      <c r="BI221" t="s">
        <v>2594</v>
      </c>
      <c r="BJ221" t="s">
        <v>2012</v>
      </c>
      <c r="BK221" t="s">
        <v>2023</v>
      </c>
      <c r="BL221" t="s">
        <v>2012</v>
      </c>
      <c r="BM221" t="s">
        <v>2645</v>
      </c>
      <c r="BN221" t="s">
        <v>2008</v>
      </c>
      <c r="BO221" t="s">
        <v>1996</v>
      </c>
      <c r="BP221" t="s">
        <v>2007</v>
      </c>
      <c r="BQ221" t="s">
        <v>1922</v>
      </c>
      <c r="BR221" t="s">
        <v>1976</v>
      </c>
      <c r="BS221" s="180" t="s">
        <v>2020</v>
      </c>
      <c r="BT221" s="180" t="s">
        <v>2012</v>
      </c>
      <c r="BU221" s="180" t="s">
        <v>2681</v>
      </c>
      <c r="BV221" s="180" t="s">
        <v>2001</v>
      </c>
      <c r="BW221" s="180" t="s">
        <v>2015</v>
      </c>
      <c r="BX221" s="180" t="s">
        <v>1976</v>
      </c>
      <c r="BY221" s="180" t="s">
        <v>2023</v>
      </c>
      <c r="BZ221" s="180" t="s">
        <v>2694</v>
      </c>
      <c r="CA221" s="180" t="s">
        <v>2020</v>
      </c>
      <c r="CB221" s="180" t="s">
        <v>2001</v>
      </c>
      <c r="CC221" s="180" t="s">
        <v>2023</v>
      </c>
      <c r="CD221" s="180" t="s">
        <v>2023</v>
      </c>
      <c r="CE221" s="180"/>
      <c r="CF221" s="180"/>
      <c r="CG221" s="180"/>
      <c r="CH221" s="180"/>
      <c r="CI221" s="180"/>
      <c r="CJ221" s="180"/>
      <c r="CK221" s="180"/>
      <c r="CL221" s="180"/>
      <c r="CM221" s="180"/>
      <c r="CN221" s="180"/>
      <c r="CO221" s="180"/>
      <c r="CP221" s="180"/>
      <c r="CQ221" s="180"/>
      <c r="CR221" s="180"/>
      <c r="CS221" s="180"/>
      <c r="CT221" s="180"/>
      <c r="CU221" s="180"/>
    </row>
    <row r="222" spans="1:99" x14ac:dyDescent="0.3">
      <c r="A222">
        <v>984</v>
      </c>
      <c r="B222" t="s">
        <v>945</v>
      </c>
      <c r="E222">
        <v>904539</v>
      </c>
      <c r="F222">
        <v>130678</v>
      </c>
      <c r="G222">
        <v>366479</v>
      </c>
      <c r="H222">
        <v>313725</v>
      </c>
      <c r="I222">
        <v>40376</v>
      </c>
      <c r="J222">
        <v>26644</v>
      </c>
      <c r="K222">
        <v>27152</v>
      </c>
      <c r="L222">
        <v>1859853</v>
      </c>
      <c r="M222">
        <v>73856911</v>
      </c>
      <c r="N222">
        <v>1377985</v>
      </c>
      <c r="O222">
        <v>4853499</v>
      </c>
      <c r="P222">
        <v>1863</v>
      </c>
      <c r="Q222">
        <v>9050089</v>
      </c>
      <c r="R222">
        <v>53045</v>
      </c>
      <c r="S222">
        <v>164192</v>
      </c>
      <c r="T222">
        <v>1224353</v>
      </c>
      <c r="U222">
        <v>836401</v>
      </c>
      <c r="V222">
        <v>2725786</v>
      </c>
      <c r="W222">
        <v>1359445</v>
      </c>
      <c r="X222">
        <v>237051</v>
      </c>
      <c r="Y222">
        <v>407571</v>
      </c>
      <c r="Z222">
        <v>25378868</v>
      </c>
      <c r="AA222">
        <v>0</v>
      </c>
      <c r="AB222">
        <v>230252</v>
      </c>
      <c r="AC222">
        <v>30528827</v>
      </c>
      <c r="AD222">
        <v>554610</v>
      </c>
      <c r="AF222">
        <v>38685568</v>
      </c>
      <c r="AG222">
        <v>70105</v>
      </c>
      <c r="AH222">
        <v>122976</v>
      </c>
      <c r="AI222">
        <v>4516635</v>
      </c>
      <c r="AJ222">
        <v>337522</v>
      </c>
      <c r="AK222">
        <v>37518</v>
      </c>
      <c r="AL222">
        <v>17874114</v>
      </c>
      <c r="AM222">
        <v>76786</v>
      </c>
      <c r="AN222">
        <v>6440612</v>
      </c>
      <c r="AO222">
        <v>0</v>
      </c>
      <c r="AP222">
        <v>2416146</v>
      </c>
      <c r="AQ222">
        <v>1321187</v>
      </c>
      <c r="AR222">
        <v>33625</v>
      </c>
      <c r="AS222">
        <v>474682</v>
      </c>
      <c r="AT222">
        <v>67370</v>
      </c>
      <c r="AU222">
        <v>216525707</v>
      </c>
      <c r="AV222">
        <v>40644881</v>
      </c>
      <c r="AW222">
        <v>796395</v>
      </c>
      <c r="AX222">
        <v>172822</v>
      </c>
      <c r="AY222">
        <v>219403</v>
      </c>
      <c r="BA222">
        <v>87142</v>
      </c>
      <c r="BB222">
        <v>2441625</v>
      </c>
      <c r="BC222">
        <v>50698</v>
      </c>
      <c r="BD222">
        <v>29667</v>
      </c>
      <c r="BE222">
        <v>26730</v>
      </c>
      <c r="BF222">
        <v>13375534</v>
      </c>
      <c r="BG222">
        <v>7416</v>
      </c>
      <c r="BH222">
        <v>5459008</v>
      </c>
      <c r="BI222">
        <v>1028518</v>
      </c>
      <c r="BJ222">
        <v>119243</v>
      </c>
      <c r="BK222">
        <v>0</v>
      </c>
      <c r="BL222">
        <v>6817768</v>
      </c>
      <c r="BM222">
        <v>12027091</v>
      </c>
      <c r="BN222">
        <v>956114</v>
      </c>
      <c r="BO222">
        <v>36123887</v>
      </c>
      <c r="BP222">
        <v>76446376</v>
      </c>
      <c r="BQ222">
        <v>161154</v>
      </c>
      <c r="BR222">
        <v>3016378</v>
      </c>
      <c r="BS222" s="180">
        <v>282172</v>
      </c>
      <c r="BT222" s="180">
        <v>9656519</v>
      </c>
      <c r="BU222" s="180">
        <v>67525</v>
      </c>
      <c r="BV222" s="180">
        <v>87400</v>
      </c>
      <c r="BW222" s="180">
        <v>2835291</v>
      </c>
      <c r="BX222" s="180">
        <v>2585392</v>
      </c>
      <c r="BY222" s="180">
        <v>22410442</v>
      </c>
      <c r="BZ222" s="180">
        <v>80458</v>
      </c>
      <c r="CA222" s="180">
        <v>5993206</v>
      </c>
      <c r="CB222" s="180">
        <v>379629</v>
      </c>
      <c r="CC222" s="180">
        <v>1514932</v>
      </c>
      <c r="CD222" s="180">
        <v>25864942</v>
      </c>
      <c r="CE222" s="180"/>
      <c r="CF222" s="180"/>
      <c r="CG222" s="180"/>
      <c r="CH222" s="180"/>
      <c r="CI222" s="180"/>
      <c r="CJ222" s="180"/>
      <c r="CK222" s="180"/>
      <c r="CL222" s="180"/>
      <c r="CM222" s="180"/>
      <c r="CN222" s="180"/>
      <c r="CO222" s="180"/>
      <c r="CP222" s="180"/>
      <c r="CQ222" s="180"/>
      <c r="CR222" s="180"/>
      <c r="CS222" s="180"/>
      <c r="CT222" s="180"/>
      <c r="CU222" s="180"/>
    </row>
    <row r="223" spans="1:99" s="553" customFormat="1" x14ac:dyDescent="0.3">
      <c r="A223">
        <v>985</v>
      </c>
      <c r="B223" t="s">
        <v>946</v>
      </c>
      <c r="C223"/>
      <c r="D223"/>
      <c r="E223">
        <v>904538</v>
      </c>
      <c r="F223">
        <v>123000</v>
      </c>
      <c r="G223">
        <v>324500</v>
      </c>
      <c r="H223">
        <v>293000</v>
      </c>
      <c r="I223">
        <v>34880</v>
      </c>
      <c r="J223">
        <v>26714</v>
      </c>
      <c r="K223">
        <v>25500</v>
      </c>
      <c r="L223">
        <v>1891152</v>
      </c>
      <c r="M223">
        <v>72344274</v>
      </c>
      <c r="N223">
        <v>1370000</v>
      </c>
      <c r="O223">
        <v>4792294</v>
      </c>
      <c r="P223">
        <v>1722</v>
      </c>
      <c r="Q223">
        <v>8909937</v>
      </c>
      <c r="R223">
        <v>54500</v>
      </c>
      <c r="S223">
        <v>141500</v>
      </c>
      <c r="T223">
        <v>1224353</v>
      </c>
      <c r="U223">
        <v>760000</v>
      </c>
      <c r="V223">
        <v>2336000</v>
      </c>
      <c r="W223">
        <v>1306445</v>
      </c>
      <c r="X223">
        <v>220000</v>
      </c>
      <c r="Y223">
        <v>410292</v>
      </c>
      <c r="Z223">
        <v>25089894</v>
      </c>
      <c r="AA223">
        <v>0</v>
      </c>
      <c r="AB223">
        <v>195575</v>
      </c>
      <c r="AC223">
        <v>30376439</v>
      </c>
      <c r="AD223">
        <v>590050</v>
      </c>
      <c r="AE223"/>
      <c r="AF223">
        <v>37080560</v>
      </c>
      <c r="AG223">
        <v>53400</v>
      </c>
      <c r="AH223">
        <v>114000</v>
      </c>
      <c r="AI223">
        <v>4432429</v>
      </c>
      <c r="AJ223">
        <v>334200</v>
      </c>
      <c r="AK223">
        <v>61400</v>
      </c>
      <c r="AL223">
        <v>17652167</v>
      </c>
      <c r="AM223">
        <v>73975</v>
      </c>
      <c r="AN223">
        <v>6149100</v>
      </c>
      <c r="AO223">
        <v>0</v>
      </c>
      <c r="AP223">
        <v>2250000</v>
      </c>
      <c r="AQ223">
        <v>1275300</v>
      </c>
      <c r="AR223">
        <v>35500</v>
      </c>
      <c r="AS223">
        <v>475190</v>
      </c>
      <c r="AT223">
        <v>58965</v>
      </c>
      <c r="AU223">
        <v>215311000</v>
      </c>
      <c r="AV223">
        <v>39776459</v>
      </c>
      <c r="AW223">
        <v>794905</v>
      </c>
      <c r="AX223">
        <v>169300</v>
      </c>
      <c r="AY223">
        <v>190000</v>
      </c>
      <c r="AZ223"/>
      <c r="BA223">
        <v>76927</v>
      </c>
      <c r="BB223">
        <v>2249500</v>
      </c>
      <c r="BC223">
        <v>52900</v>
      </c>
      <c r="BD223">
        <v>24500</v>
      </c>
      <c r="BE223">
        <v>24872</v>
      </c>
      <c r="BF223">
        <v>13195000</v>
      </c>
      <c r="BG223">
        <v>5800</v>
      </c>
      <c r="BH223">
        <v>5305636</v>
      </c>
      <c r="BI223">
        <v>997217</v>
      </c>
      <c r="BJ223">
        <v>111400</v>
      </c>
      <c r="BK223">
        <v>0</v>
      </c>
      <c r="BL223">
        <v>7218785</v>
      </c>
      <c r="BM223">
        <v>11794708</v>
      </c>
      <c r="BN223">
        <v>780180</v>
      </c>
      <c r="BO223">
        <v>34321707</v>
      </c>
      <c r="BP223">
        <v>75100167</v>
      </c>
      <c r="BQ223">
        <v>148014</v>
      </c>
      <c r="BR223">
        <v>2940600</v>
      </c>
      <c r="BS223" s="553">
        <v>257610</v>
      </c>
      <c r="BT223" s="553">
        <v>9040700</v>
      </c>
      <c r="BU223" s="553">
        <v>67400</v>
      </c>
      <c r="BV223" s="553">
        <v>38700</v>
      </c>
      <c r="BW223" s="553">
        <v>2822950</v>
      </c>
      <c r="BX223" s="553">
        <v>2413082</v>
      </c>
      <c r="BY223" s="553">
        <v>22582149</v>
      </c>
      <c r="BZ223" s="553">
        <v>78350</v>
      </c>
      <c r="CA223" s="553">
        <v>6075650</v>
      </c>
      <c r="CB223" s="553">
        <v>326000</v>
      </c>
      <c r="CC223" s="553">
        <v>1505300</v>
      </c>
      <c r="CD223" s="553">
        <v>24696138</v>
      </c>
    </row>
    <row r="224" spans="1:99" s="553" customFormat="1" x14ac:dyDescent="0.3">
      <c r="A224">
        <v>986</v>
      </c>
      <c r="B224" t="s">
        <v>584</v>
      </c>
      <c r="C224"/>
      <c r="D224"/>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c r="AF224">
        <v>0</v>
      </c>
      <c r="AG224">
        <v>0</v>
      </c>
      <c r="AH224">
        <v>0</v>
      </c>
      <c r="AI224">
        <v>0</v>
      </c>
      <c r="AJ224">
        <v>0</v>
      </c>
      <c r="AK224">
        <v>0</v>
      </c>
      <c r="AL224">
        <v>0</v>
      </c>
      <c r="AM224">
        <v>0</v>
      </c>
      <c r="AN224">
        <v>0</v>
      </c>
      <c r="AO224">
        <v>0</v>
      </c>
      <c r="AP224">
        <v>0</v>
      </c>
      <c r="AQ224">
        <v>0</v>
      </c>
      <c r="AR224">
        <v>0</v>
      </c>
      <c r="AS224">
        <v>0</v>
      </c>
      <c r="AT224">
        <v>0</v>
      </c>
      <c r="AU224">
        <v>50209</v>
      </c>
      <c r="AV224">
        <v>0</v>
      </c>
      <c r="AW224">
        <v>27007</v>
      </c>
      <c r="AX224">
        <v>0</v>
      </c>
      <c r="AY224">
        <v>0</v>
      </c>
      <c r="AZ224"/>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s="553">
        <v>0</v>
      </c>
      <c r="BT224" s="553">
        <v>0</v>
      </c>
      <c r="BU224" s="553">
        <v>0</v>
      </c>
      <c r="BV224" s="553">
        <v>0</v>
      </c>
      <c r="BW224" s="553">
        <v>0</v>
      </c>
      <c r="BX224" s="553">
        <v>0</v>
      </c>
      <c r="BY224" s="553">
        <v>0</v>
      </c>
      <c r="BZ224" s="553">
        <v>0</v>
      </c>
      <c r="CA224" s="553">
        <v>0</v>
      </c>
      <c r="CB224" s="553">
        <v>0</v>
      </c>
      <c r="CC224" s="553">
        <v>0</v>
      </c>
      <c r="CD224" s="553">
        <v>0</v>
      </c>
    </row>
    <row r="225" spans="1:99" s="553" customFormat="1" x14ac:dyDescent="0.3">
      <c r="A225">
        <v>987</v>
      </c>
      <c r="B225" t="s">
        <v>947</v>
      </c>
      <c r="C225"/>
      <c r="D225"/>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s="553">
        <v>0</v>
      </c>
      <c r="BT225" s="553">
        <v>0</v>
      </c>
      <c r="BU225" s="553">
        <v>0</v>
      </c>
      <c r="BV225" s="553">
        <v>0</v>
      </c>
      <c r="BW225" s="553">
        <v>0</v>
      </c>
      <c r="BX225" s="553">
        <v>0</v>
      </c>
      <c r="BY225" s="553">
        <v>0</v>
      </c>
      <c r="BZ225" s="553">
        <v>0</v>
      </c>
      <c r="CA225" s="553">
        <v>0</v>
      </c>
      <c r="CB225" s="553">
        <v>0</v>
      </c>
      <c r="CC225" s="553">
        <v>0</v>
      </c>
      <c r="CD225" s="553">
        <v>0</v>
      </c>
    </row>
    <row r="226" spans="1:99" s="553" customFormat="1" x14ac:dyDescent="0.3">
      <c r="A226">
        <v>988</v>
      </c>
      <c r="B226" t="s">
        <v>948</v>
      </c>
      <c r="C226"/>
      <c r="D226"/>
      <c r="E226">
        <v>2</v>
      </c>
      <c r="F226">
        <v>2</v>
      </c>
      <c r="G226">
        <v>2</v>
      </c>
      <c r="H226">
        <v>2</v>
      </c>
      <c r="I226">
        <v>2</v>
      </c>
      <c r="J226">
        <v>2</v>
      </c>
      <c r="K226">
        <v>2</v>
      </c>
      <c r="L226">
        <v>2</v>
      </c>
      <c r="M226">
        <v>2</v>
      </c>
      <c r="N226">
        <v>2</v>
      </c>
      <c r="O226">
        <v>2</v>
      </c>
      <c r="P226">
        <v>2</v>
      </c>
      <c r="Q226">
        <v>2</v>
      </c>
      <c r="R226">
        <v>2</v>
      </c>
      <c r="S226">
        <v>2</v>
      </c>
      <c r="T226">
        <v>2</v>
      </c>
      <c r="U226">
        <v>2</v>
      </c>
      <c r="V226">
        <v>2</v>
      </c>
      <c r="W226">
        <v>2</v>
      </c>
      <c r="X226">
        <v>2</v>
      </c>
      <c r="Y226">
        <v>2</v>
      </c>
      <c r="Z226">
        <v>2</v>
      </c>
      <c r="AA226">
        <v>2</v>
      </c>
      <c r="AB226">
        <v>2</v>
      </c>
      <c r="AC226">
        <v>2</v>
      </c>
      <c r="AD226">
        <v>0</v>
      </c>
      <c r="AE226"/>
      <c r="AF226">
        <v>2</v>
      </c>
      <c r="AG226">
        <v>0</v>
      </c>
      <c r="AH226">
        <v>2</v>
      </c>
      <c r="AI226">
        <v>2</v>
      </c>
      <c r="AJ226">
        <v>2</v>
      </c>
      <c r="AK226">
        <v>2</v>
      </c>
      <c r="AL226">
        <v>2</v>
      </c>
      <c r="AM226">
        <v>2</v>
      </c>
      <c r="AN226">
        <v>2</v>
      </c>
      <c r="AO226">
        <v>2</v>
      </c>
      <c r="AP226">
        <v>2</v>
      </c>
      <c r="AQ226">
        <v>2</v>
      </c>
      <c r="AR226">
        <v>2</v>
      </c>
      <c r="AS226">
        <v>2</v>
      </c>
      <c r="AT226">
        <v>2</v>
      </c>
      <c r="AU226">
        <v>1</v>
      </c>
      <c r="AV226">
        <v>2</v>
      </c>
      <c r="AW226">
        <v>2</v>
      </c>
      <c r="AX226">
        <v>2</v>
      </c>
      <c r="AY226">
        <v>2</v>
      </c>
      <c r="AZ226"/>
      <c r="BA226">
        <v>2</v>
      </c>
      <c r="BB226">
        <v>2</v>
      </c>
      <c r="BC226">
        <v>2</v>
      </c>
      <c r="BD226">
        <v>2</v>
      </c>
      <c r="BE226">
        <v>0</v>
      </c>
      <c r="BF226">
        <v>2</v>
      </c>
      <c r="BG226">
        <v>2</v>
      </c>
      <c r="BH226">
        <v>2</v>
      </c>
      <c r="BI226">
        <v>2</v>
      </c>
      <c r="BJ226">
        <v>2</v>
      </c>
      <c r="BK226">
        <v>0</v>
      </c>
      <c r="BL226">
        <v>2</v>
      </c>
      <c r="BM226">
        <v>2</v>
      </c>
      <c r="BN226">
        <v>2</v>
      </c>
      <c r="BO226">
        <v>2</v>
      </c>
      <c r="BP226">
        <v>2</v>
      </c>
      <c r="BQ226">
        <v>2</v>
      </c>
      <c r="BR226">
        <v>2</v>
      </c>
      <c r="BS226" s="553">
        <v>2</v>
      </c>
      <c r="BT226" s="553">
        <v>2</v>
      </c>
      <c r="BU226" s="553">
        <v>2</v>
      </c>
      <c r="BV226" s="553">
        <v>2</v>
      </c>
      <c r="BW226" s="553">
        <v>2</v>
      </c>
      <c r="BX226" s="553">
        <v>2</v>
      </c>
      <c r="BY226" s="553">
        <v>2</v>
      </c>
      <c r="BZ226" s="553">
        <v>2</v>
      </c>
      <c r="CA226" s="553">
        <v>2</v>
      </c>
      <c r="CB226" s="553">
        <v>2</v>
      </c>
      <c r="CC226" s="553">
        <v>2</v>
      </c>
      <c r="CD226" s="553">
        <v>2</v>
      </c>
    </row>
    <row r="227" spans="1:99" x14ac:dyDescent="0.3">
      <c r="A227">
        <v>989</v>
      </c>
      <c r="B227" t="s">
        <v>949</v>
      </c>
      <c r="E227">
        <v>3</v>
      </c>
      <c r="F227">
        <v>0</v>
      </c>
      <c r="G227">
        <v>3</v>
      </c>
      <c r="H227">
        <v>3</v>
      </c>
      <c r="I227">
        <v>3</v>
      </c>
      <c r="J227">
        <v>3</v>
      </c>
      <c r="K227">
        <v>3</v>
      </c>
      <c r="L227">
        <v>3</v>
      </c>
      <c r="M227">
        <v>3</v>
      </c>
      <c r="N227">
        <v>3</v>
      </c>
      <c r="O227">
        <v>0</v>
      </c>
      <c r="P227">
        <v>3</v>
      </c>
      <c r="Q227">
        <v>3</v>
      </c>
      <c r="R227">
        <v>3</v>
      </c>
      <c r="S227">
        <v>3</v>
      </c>
      <c r="T227">
        <v>3</v>
      </c>
      <c r="U227">
        <v>3</v>
      </c>
      <c r="V227">
        <v>3</v>
      </c>
      <c r="W227">
        <v>3</v>
      </c>
      <c r="X227">
        <v>3</v>
      </c>
      <c r="Y227">
        <v>3</v>
      </c>
      <c r="Z227">
        <v>3</v>
      </c>
      <c r="AA227">
        <v>3</v>
      </c>
      <c r="AB227">
        <v>3</v>
      </c>
      <c r="AC227">
        <v>3</v>
      </c>
      <c r="AD227">
        <v>0</v>
      </c>
      <c r="AF227">
        <v>3</v>
      </c>
      <c r="AG227">
        <v>0</v>
      </c>
      <c r="AH227">
        <v>3</v>
      </c>
      <c r="AI227">
        <v>3</v>
      </c>
      <c r="AJ227">
        <v>3</v>
      </c>
      <c r="AK227">
        <v>3</v>
      </c>
      <c r="AL227">
        <v>3</v>
      </c>
      <c r="AM227">
        <v>3</v>
      </c>
      <c r="AN227">
        <v>3</v>
      </c>
      <c r="AO227">
        <v>3</v>
      </c>
      <c r="AP227">
        <v>3</v>
      </c>
      <c r="AQ227">
        <v>3</v>
      </c>
      <c r="AR227">
        <v>3</v>
      </c>
      <c r="AS227">
        <v>3</v>
      </c>
      <c r="AT227">
        <v>3</v>
      </c>
      <c r="AU227">
        <v>1</v>
      </c>
      <c r="AV227">
        <v>3</v>
      </c>
      <c r="AW227">
        <v>0</v>
      </c>
      <c r="AX227">
        <v>3</v>
      </c>
      <c r="AY227">
        <v>3</v>
      </c>
      <c r="BA227">
        <v>3</v>
      </c>
      <c r="BB227">
        <v>3</v>
      </c>
      <c r="BC227">
        <v>3</v>
      </c>
      <c r="BD227">
        <v>0</v>
      </c>
      <c r="BE227">
        <v>0</v>
      </c>
      <c r="BF227">
        <v>0</v>
      </c>
      <c r="BG227">
        <v>0</v>
      </c>
      <c r="BH227">
        <v>3</v>
      </c>
      <c r="BI227">
        <v>3</v>
      </c>
      <c r="BJ227">
        <v>3</v>
      </c>
      <c r="BK227">
        <v>0</v>
      </c>
      <c r="BL227">
        <v>3</v>
      </c>
      <c r="BM227">
        <v>3</v>
      </c>
      <c r="BN227">
        <v>0</v>
      </c>
      <c r="BO227">
        <v>3</v>
      </c>
      <c r="BP227">
        <v>3</v>
      </c>
      <c r="BQ227">
        <v>3</v>
      </c>
      <c r="BR227">
        <v>3</v>
      </c>
      <c r="BS227" s="180">
        <v>3</v>
      </c>
      <c r="BT227" s="180">
        <v>3</v>
      </c>
      <c r="BU227" s="180">
        <v>3</v>
      </c>
      <c r="BV227" s="180">
        <v>3</v>
      </c>
      <c r="BW227" s="180">
        <v>3</v>
      </c>
      <c r="BX227" s="180">
        <v>3</v>
      </c>
      <c r="BY227" s="180">
        <v>3</v>
      </c>
      <c r="BZ227" s="180">
        <v>3</v>
      </c>
      <c r="CA227" s="180">
        <v>3</v>
      </c>
      <c r="CB227" s="180">
        <v>3</v>
      </c>
      <c r="CC227" s="180">
        <v>0</v>
      </c>
      <c r="CD227" s="180">
        <v>3</v>
      </c>
      <c r="CE227" s="180"/>
      <c r="CF227" s="180"/>
      <c r="CG227" s="180"/>
      <c r="CH227" s="180"/>
      <c r="CI227" s="180"/>
      <c r="CJ227" s="180"/>
      <c r="CK227" s="180"/>
      <c r="CL227" s="180"/>
      <c r="CM227" s="180"/>
      <c r="CN227" s="180"/>
      <c r="CO227" s="180"/>
      <c r="CP227" s="180"/>
      <c r="CQ227" s="180"/>
      <c r="CR227" s="180"/>
      <c r="CS227" s="180"/>
      <c r="CT227" s="180"/>
      <c r="CU227" s="180"/>
    </row>
    <row r="228" spans="1:99" x14ac:dyDescent="0.3">
      <c r="A228">
        <v>990</v>
      </c>
      <c r="B228" t="s">
        <v>575</v>
      </c>
      <c r="E228">
        <v>0</v>
      </c>
      <c r="F228">
        <v>0</v>
      </c>
      <c r="G228">
        <v>0</v>
      </c>
      <c r="H228">
        <v>0</v>
      </c>
      <c r="I228">
        <v>0</v>
      </c>
      <c r="J228">
        <v>0</v>
      </c>
      <c r="K228">
        <v>0</v>
      </c>
      <c r="L228">
        <v>45491</v>
      </c>
      <c r="M228">
        <v>0</v>
      </c>
      <c r="N228">
        <v>0</v>
      </c>
      <c r="O228">
        <v>0</v>
      </c>
      <c r="P228">
        <v>0</v>
      </c>
      <c r="Q228">
        <v>0</v>
      </c>
      <c r="R228">
        <v>0</v>
      </c>
      <c r="S228">
        <v>0</v>
      </c>
      <c r="T228">
        <v>0</v>
      </c>
      <c r="U228">
        <v>0</v>
      </c>
      <c r="V228">
        <v>0</v>
      </c>
      <c r="W228">
        <v>0</v>
      </c>
      <c r="X228">
        <v>0</v>
      </c>
      <c r="Y228">
        <v>0</v>
      </c>
      <c r="Z228">
        <v>0</v>
      </c>
      <c r="AA228">
        <v>0</v>
      </c>
      <c r="AB228">
        <v>0</v>
      </c>
      <c r="AC228">
        <v>0</v>
      </c>
      <c r="AD228">
        <v>0</v>
      </c>
      <c r="AF228">
        <v>641866</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BA228">
        <v>0</v>
      </c>
      <c r="BB228">
        <v>0</v>
      </c>
      <c r="BC228">
        <v>0</v>
      </c>
      <c r="BD228">
        <v>0</v>
      </c>
      <c r="BE228">
        <v>0</v>
      </c>
      <c r="BF228">
        <v>0</v>
      </c>
      <c r="BG228">
        <v>0</v>
      </c>
      <c r="BH228">
        <v>0</v>
      </c>
      <c r="BI228">
        <v>0</v>
      </c>
      <c r="BJ228">
        <v>0</v>
      </c>
      <c r="BK228">
        <v>0</v>
      </c>
      <c r="BL228">
        <v>0</v>
      </c>
      <c r="BM228">
        <v>0</v>
      </c>
      <c r="BN228">
        <v>0</v>
      </c>
      <c r="BO228">
        <v>0</v>
      </c>
      <c r="BP228">
        <v>1006151</v>
      </c>
      <c r="BQ228">
        <v>0</v>
      </c>
      <c r="BR228">
        <v>0</v>
      </c>
      <c r="BS228" s="180">
        <v>0</v>
      </c>
      <c r="BT228" s="180">
        <v>0</v>
      </c>
      <c r="BU228" s="180">
        <v>0</v>
      </c>
      <c r="BV228" s="180">
        <v>0</v>
      </c>
      <c r="BW228" s="180">
        <v>0</v>
      </c>
      <c r="BX228" s="180">
        <v>0</v>
      </c>
      <c r="BY228" s="180">
        <v>0</v>
      </c>
      <c r="BZ228" s="180">
        <v>0</v>
      </c>
      <c r="CA228" s="180">
        <v>0</v>
      </c>
      <c r="CB228" s="180">
        <v>0</v>
      </c>
      <c r="CC228" s="180">
        <v>0</v>
      </c>
      <c r="CD228" s="180">
        <v>0</v>
      </c>
      <c r="CE228" s="180"/>
      <c r="CF228" s="180"/>
      <c r="CG228" s="180"/>
      <c r="CH228" s="180"/>
      <c r="CI228" s="180"/>
      <c r="CJ228" s="180"/>
      <c r="CK228" s="180"/>
      <c r="CL228" s="180"/>
      <c r="CM228" s="180"/>
      <c r="CN228" s="180"/>
      <c r="CO228" s="180"/>
      <c r="CP228" s="180"/>
      <c r="CQ228" s="180"/>
      <c r="CR228" s="180"/>
      <c r="CS228" s="180"/>
      <c r="CT228" s="180"/>
      <c r="CU228" s="180"/>
    </row>
    <row r="229" spans="1:99" x14ac:dyDescent="0.3">
      <c r="A229">
        <v>991</v>
      </c>
      <c r="B229" t="s">
        <v>950</v>
      </c>
      <c r="E229">
        <v>23</v>
      </c>
      <c r="F229">
        <v>23</v>
      </c>
      <c r="G229">
        <v>23</v>
      </c>
      <c r="H229">
        <v>23</v>
      </c>
      <c r="I229">
        <v>22</v>
      </c>
      <c r="J229">
        <v>23</v>
      </c>
      <c r="K229">
        <v>23</v>
      </c>
      <c r="L229">
        <v>23</v>
      </c>
      <c r="M229">
        <v>23</v>
      </c>
      <c r="N229">
        <v>23</v>
      </c>
      <c r="O229">
        <v>23</v>
      </c>
      <c r="P229">
        <v>23</v>
      </c>
      <c r="Q229">
        <v>23</v>
      </c>
      <c r="R229">
        <v>23</v>
      </c>
      <c r="S229">
        <v>22</v>
      </c>
      <c r="T229">
        <v>23</v>
      </c>
      <c r="U229">
        <v>23</v>
      </c>
      <c r="V229">
        <v>23</v>
      </c>
      <c r="W229">
        <v>23</v>
      </c>
      <c r="X229">
        <v>23</v>
      </c>
      <c r="Y229">
        <v>23</v>
      </c>
      <c r="Z229">
        <v>20</v>
      </c>
      <c r="AA229">
        <v>23</v>
      </c>
      <c r="AB229">
        <v>23</v>
      </c>
      <c r="AC229">
        <v>20</v>
      </c>
      <c r="AD229">
        <v>20</v>
      </c>
      <c r="AF229">
        <v>23</v>
      </c>
      <c r="AG229">
        <v>0</v>
      </c>
      <c r="AH229">
        <v>20</v>
      </c>
      <c r="AI229">
        <v>23</v>
      </c>
      <c r="AJ229">
        <v>0</v>
      </c>
      <c r="AK229">
        <v>23</v>
      </c>
      <c r="AL229">
        <v>23</v>
      </c>
      <c r="AM229">
        <v>23</v>
      </c>
      <c r="AN229">
        <v>23</v>
      </c>
      <c r="AO229">
        <v>0</v>
      </c>
      <c r="AP229">
        <v>22</v>
      </c>
      <c r="AQ229">
        <v>23</v>
      </c>
      <c r="AR229">
        <v>23</v>
      </c>
      <c r="AS229">
        <v>20</v>
      </c>
      <c r="AT229">
        <v>23</v>
      </c>
      <c r="AU229">
        <v>23</v>
      </c>
      <c r="AV229">
        <v>20</v>
      </c>
      <c r="AW229">
        <v>22</v>
      </c>
      <c r="AX229">
        <v>20</v>
      </c>
      <c r="AY229">
        <v>23</v>
      </c>
      <c r="BA229">
        <v>23</v>
      </c>
      <c r="BB229">
        <v>20</v>
      </c>
      <c r="BC229">
        <v>23</v>
      </c>
      <c r="BD229">
        <v>23</v>
      </c>
      <c r="BE229">
        <v>20</v>
      </c>
      <c r="BF229">
        <v>20</v>
      </c>
      <c r="BG229">
        <v>23</v>
      </c>
      <c r="BH229">
        <v>23</v>
      </c>
      <c r="BI229">
        <v>23</v>
      </c>
      <c r="BJ229">
        <v>22</v>
      </c>
      <c r="BK229">
        <v>23</v>
      </c>
      <c r="BL229">
        <v>20</v>
      </c>
      <c r="BM229">
        <v>23</v>
      </c>
      <c r="BN229">
        <v>20</v>
      </c>
      <c r="BO229">
        <v>23</v>
      </c>
      <c r="BP229">
        <v>23</v>
      </c>
      <c r="BQ229">
        <v>23</v>
      </c>
      <c r="BR229">
        <v>23</v>
      </c>
      <c r="BS229" s="180">
        <v>23</v>
      </c>
      <c r="BT229" s="180">
        <v>23</v>
      </c>
      <c r="BU229" s="180">
        <v>22</v>
      </c>
      <c r="BV229" s="180">
        <v>20</v>
      </c>
      <c r="BW229" s="180">
        <v>23</v>
      </c>
      <c r="BX229" s="180">
        <v>23</v>
      </c>
      <c r="BY229" s="180">
        <v>20</v>
      </c>
      <c r="BZ229" s="180">
        <v>23</v>
      </c>
      <c r="CA229" s="180">
        <v>23</v>
      </c>
      <c r="CB229" s="180">
        <v>22</v>
      </c>
      <c r="CC229" s="180">
        <v>0</v>
      </c>
      <c r="CD229" s="180">
        <v>23</v>
      </c>
      <c r="CE229" s="180"/>
      <c r="CF229" s="180"/>
      <c r="CG229" s="180"/>
      <c r="CH229" s="180"/>
      <c r="CI229" s="180"/>
      <c r="CJ229" s="180"/>
      <c r="CK229" s="180"/>
      <c r="CL229" s="180"/>
      <c r="CM229" s="180"/>
      <c r="CN229" s="180"/>
      <c r="CO229" s="180"/>
      <c r="CP229" s="180"/>
      <c r="CQ229" s="180"/>
      <c r="CR229" s="180"/>
      <c r="CS229" s="180"/>
      <c r="CT229" s="180"/>
      <c r="CU229" s="180"/>
    </row>
    <row r="230" spans="1:99" x14ac:dyDescent="0.3">
      <c r="A230">
        <v>995</v>
      </c>
      <c r="B230" s="551" t="s">
        <v>275</v>
      </c>
      <c r="D230">
        <v>0</v>
      </c>
      <c r="E230">
        <v>0</v>
      </c>
      <c r="F230">
        <v>0</v>
      </c>
      <c r="G230">
        <v>0</v>
      </c>
      <c r="H230">
        <v>0</v>
      </c>
      <c r="I230">
        <v>0</v>
      </c>
      <c r="J230">
        <v>0</v>
      </c>
      <c r="K230">
        <v>0</v>
      </c>
      <c r="L230">
        <v>0.08</v>
      </c>
      <c r="M230" s="551">
        <v>0</v>
      </c>
      <c r="N230">
        <v>0</v>
      </c>
      <c r="O230">
        <v>0</v>
      </c>
      <c r="P230">
        <v>0</v>
      </c>
      <c r="Q230">
        <v>0.09</v>
      </c>
      <c r="R230">
        <v>0</v>
      </c>
      <c r="S230">
        <v>0.09</v>
      </c>
      <c r="T230">
        <v>0</v>
      </c>
      <c r="U230">
        <v>0</v>
      </c>
      <c r="V230">
        <v>0</v>
      </c>
      <c r="W230">
        <v>0</v>
      </c>
      <c r="X230">
        <v>0</v>
      </c>
      <c r="Y230">
        <v>0.08</v>
      </c>
      <c r="Z230">
        <v>0</v>
      </c>
      <c r="AA230">
        <v>0</v>
      </c>
      <c r="AB230">
        <v>0</v>
      </c>
      <c r="AC230">
        <v>0</v>
      </c>
      <c r="AD230">
        <v>0</v>
      </c>
      <c r="AE230">
        <v>0</v>
      </c>
      <c r="AF230">
        <v>7.0000000000000007E-2</v>
      </c>
      <c r="AG230">
        <v>0</v>
      </c>
      <c r="AH230">
        <v>0</v>
      </c>
      <c r="AI230">
        <v>0</v>
      </c>
      <c r="AJ230">
        <v>0</v>
      </c>
      <c r="AK230">
        <v>0</v>
      </c>
      <c r="AL230">
        <v>0</v>
      </c>
      <c r="AM230">
        <v>0</v>
      </c>
      <c r="AN230">
        <v>0</v>
      </c>
      <c r="AO230">
        <v>0</v>
      </c>
      <c r="AP230">
        <v>7.0000000000000007E-2</v>
      </c>
      <c r="AQ230">
        <v>0</v>
      </c>
      <c r="AR230">
        <v>0</v>
      </c>
      <c r="AS230">
        <v>0</v>
      </c>
      <c r="AT230">
        <v>0</v>
      </c>
      <c r="AU230">
        <v>0</v>
      </c>
      <c r="AV230">
        <v>0.08</v>
      </c>
      <c r="AW230">
        <v>0</v>
      </c>
      <c r="AX230">
        <v>0</v>
      </c>
      <c r="AY230">
        <v>0</v>
      </c>
      <c r="AZ230">
        <v>0</v>
      </c>
      <c r="BA230">
        <v>0.08</v>
      </c>
      <c r="BB230">
        <v>0</v>
      </c>
      <c r="BC230">
        <v>0</v>
      </c>
      <c r="BD230">
        <v>0</v>
      </c>
      <c r="BE230">
        <v>0</v>
      </c>
      <c r="BF230">
        <v>0</v>
      </c>
      <c r="BG230">
        <v>0</v>
      </c>
      <c r="BH230">
        <v>0</v>
      </c>
      <c r="BI230">
        <v>0</v>
      </c>
      <c r="BJ230">
        <v>0</v>
      </c>
      <c r="BK230">
        <v>0</v>
      </c>
      <c r="BL230">
        <v>0</v>
      </c>
      <c r="BM230">
        <v>0</v>
      </c>
      <c r="BN230">
        <v>0.08</v>
      </c>
      <c r="BO230">
        <v>0</v>
      </c>
      <c r="BP230">
        <v>7.0000000000000007E-2</v>
      </c>
      <c r="BQ230">
        <v>0</v>
      </c>
      <c r="BR230">
        <v>0.09</v>
      </c>
      <c r="BS230" s="180">
        <v>0</v>
      </c>
      <c r="BT230" s="180">
        <v>0</v>
      </c>
      <c r="BU230" s="180">
        <v>0.08</v>
      </c>
      <c r="BV230" s="180">
        <v>0</v>
      </c>
      <c r="BW230" s="180">
        <v>0</v>
      </c>
      <c r="BX230" s="180">
        <v>0</v>
      </c>
      <c r="BY230" s="180">
        <v>0</v>
      </c>
      <c r="BZ230" s="180">
        <v>0.08</v>
      </c>
      <c r="CA230" s="180">
        <v>0</v>
      </c>
      <c r="CB230" s="180">
        <v>0</v>
      </c>
      <c r="CC230" s="180">
        <v>0</v>
      </c>
      <c r="CD230" s="180">
        <v>7.0000000000000007E-2</v>
      </c>
      <c r="CE230" s="180"/>
      <c r="CF230" s="180"/>
      <c r="CG230" s="180"/>
      <c r="CH230" s="180"/>
      <c r="CI230" s="180"/>
      <c r="CJ230" s="180"/>
      <c r="CK230" s="180"/>
      <c r="CL230" s="180"/>
      <c r="CM230" s="180"/>
      <c r="CN230" s="180"/>
      <c r="CO230" s="180"/>
      <c r="CP230" s="180"/>
      <c r="CQ230" s="180"/>
      <c r="CR230" s="180"/>
      <c r="CS230" s="180"/>
      <c r="CT230" s="180"/>
      <c r="CU230" s="180"/>
    </row>
    <row r="231" spans="1:99" x14ac:dyDescent="0.3">
      <c r="A231">
        <v>996</v>
      </c>
      <c r="B231" t="s">
        <v>276</v>
      </c>
      <c r="D231">
        <v>0.01</v>
      </c>
      <c r="E231">
        <v>0.01</v>
      </c>
      <c r="F231">
        <v>0</v>
      </c>
      <c r="G231">
        <v>0.01</v>
      </c>
      <c r="H231">
        <v>0.01</v>
      </c>
      <c r="I231">
        <v>0.01</v>
      </c>
      <c r="J231">
        <v>0</v>
      </c>
      <c r="K231">
        <v>0.01</v>
      </c>
      <c r="L231">
        <v>0.01</v>
      </c>
      <c r="M231">
        <v>0</v>
      </c>
      <c r="N231">
        <v>0</v>
      </c>
      <c r="O231">
        <v>0</v>
      </c>
      <c r="P231">
        <v>0.01</v>
      </c>
      <c r="Q231">
        <v>0.01</v>
      </c>
      <c r="R231">
        <v>0</v>
      </c>
      <c r="S231">
        <v>0.01</v>
      </c>
      <c r="T231">
        <v>0.01</v>
      </c>
      <c r="U231">
        <v>0.01</v>
      </c>
      <c r="V231">
        <v>0.01</v>
      </c>
      <c r="W231">
        <v>0</v>
      </c>
      <c r="X231">
        <v>0.01</v>
      </c>
      <c r="Y231">
        <v>0.01</v>
      </c>
      <c r="Z231">
        <v>0.01</v>
      </c>
      <c r="AA231">
        <v>0.01</v>
      </c>
      <c r="AB231">
        <v>0.01</v>
      </c>
      <c r="AC231">
        <v>0</v>
      </c>
      <c r="AD231">
        <v>0</v>
      </c>
      <c r="AE231">
        <v>0</v>
      </c>
      <c r="AF231">
        <v>0.01</v>
      </c>
      <c r="AG231">
        <v>0</v>
      </c>
      <c r="AH231">
        <v>0.01</v>
      </c>
      <c r="AI231">
        <v>0.01</v>
      </c>
      <c r="AJ231">
        <v>0.01</v>
      </c>
      <c r="AK231">
        <v>0.01</v>
      </c>
      <c r="AL231">
        <v>0.01</v>
      </c>
      <c r="AM231">
        <v>0.01</v>
      </c>
      <c r="AN231">
        <v>0.01</v>
      </c>
      <c r="AO231">
        <v>0</v>
      </c>
      <c r="AP231">
        <v>0.01</v>
      </c>
      <c r="AQ231">
        <v>0</v>
      </c>
      <c r="AR231">
        <v>0</v>
      </c>
      <c r="AS231">
        <v>0.01</v>
      </c>
      <c r="AT231">
        <v>0.01</v>
      </c>
      <c r="AU231">
        <v>0.01</v>
      </c>
      <c r="AV231">
        <v>0.01</v>
      </c>
      <c r="AW231">
        <v>0.01</v>
      </c>
      <c r="AX231">
        <v>0.01</v>
      </c>
      <c r="AY231">
        <v>0.01</v>
      </c>
      <c r="AZ231">
        <v>0.01</v>
      </c>
      <c r="BA231">
        <v>0.01</v>
      </c>
      <c r="BB231">
        <v>0.01</v>
      </c>
      <c r="BC231">
        <v>0.01</v>
      </c>
      <c r="BD231">
        <v>0</v>
      </c>
      <c r="BE231">
        <v>0.01</v>
      </c>
      <c r="BF231">
        <v>0.01</v>
      </c>
      <c r="BG231">
        <v>0</v>
      </c>
      <c r="BH231">
        <v>0.01</v>
      </c>
      <c r="BI231">
        <v>0.01</v>
      </c>
      <c r="BJ231">
        <v>0</v>
      </c>
      <c r="BK231">
        <v>0</v>
      </c>
      <c r="BL231">
        <v>0.01</v>
      </c>
      <c r="BM231">
        <v>0.01</v>
      </c>
      <c r="BN231">
        <v>0.01</v>
      </c>
      <c r="BO231">
        <v>0.01</v>
      </c>
      <c r="BP231">
        <v>0.01</v>
      </c>
      <c r="BQ231">
        <v>0.01</v>
      </c>
      <c r="BR231">
        <v>0.01</v>
      </c>
      <c r="BS231" s="180">
        <v>0</v>
      </c>
      <c r="BT231" s="180">
        <v>0.01</v>
      </c>
      <c r="BU231" s="180">
        <v>0.01</v>
      </c>
      <c r="BV231" s="180">
        <v>0.01</v>
      </c>
      <c r="BW231" s="180">
        <v>0.01</v>
      </c>
      <c r="BX231" s="180">
        <v>0</v>
      </c>
      <c r="BY231" s="180">
        <v>0.01</v>
      </c>
      <c r="BZ231" s="180">
        <v>0.01</v>
      </c>
      <c r="CA231" s="180">
        <v>0</v>
      </c>
      <c r="CB231" s="180">
        <v>0.01</v>
      </c>
      <c r="CC231" s="180">
        <v>0</v>
      </c>
      <c r="CD231" s="180">
        <v>0</v>
      </c>
      <c r="CE231" s="180"/>
      <c r="CF231" s="180"/>
      <c r="CG231" s="180"/>
      <c r="CH231" s="180"/>
      <c r="CI231" s="180"/>
      <c r="CJ231" s="180"/>
      <c r="CK231" s="180"/>
      <c r="CL231" s="180"/>
      <c r="CM231" s="180"/>
      <c r="CN231" s="180"/>
      <c r="CO231" s="180"/>
      <c r="CP231" s="180"/>
      <c r="CQ231" s="180"/>
      <c r="CR231" s="180"/>
      <c r="CS231" s="180"/>
      <c r="CT231" s="180"/>
      <c r="CU231" s="180"/>
    </row>
    <row r="232" spans="1:99" x14ac:dyDescent="0.3">
      <c r="A232">
        <v>998</v>
      </c>
      <c r="B232" t="s">
        <v>277</v>
      </c>
      <c r="D232">
        <v>50</v>
      </c>
      <c r="E232">
        <v>50</v>
      </c>
      <c r="F232">
        <v>50</v>
      </c>
      <c r="G232">
        <v>50</v>
      </c>
      <c r="H232">
        <v>50</v>
      </c>
      <c r="I232">
        <v>50</v>
      </c>
      <c r="J232">
        <v>50</v>
      </c>
      <c r="K232">
        <v>50</v>
      </c>
      <c r="L232">
        <v>50</v>
      </c>
      <c r="M232">
        <v>50</v>
      </c>
      <c r="N232">
        <v>50</v>
      </c>
      <c r="O232">
        <v>50</v>
      </c>
      <c r="P232">
        <v>50</v>
      </c>
      <c r="Q232">
        <v>50</v>
      </c>
      <c r="R232">
        <v>50</v>
      </c>
      <c r="S232">
        <v>50</v>
      </c>
      <c r="T232">
        <v>50</v>
      </c>
      <c r="U232">
        <v>50</v>
      </c>
      <c r="V232">
        <v>50</v>
      </c>
      <c r="W232">
        <v>50</v>
      </c>
      <c r="X232">
        <v>50</v>
      </c>
      <c r="Y232">
        <v>50</v>
      </c>
      <c r="Z232">
        <v>50</v>
      </c>
      <c r="AA232">
        <v>50</v>
      </c>
      <c r="AB232">
        <v>50</v>
      </c>
      <c r="AC232">
        <v>50</v>
      </c>
      <c r="AD232">
        <v>50</v>
      </c>
      <c r="AE232">
        <v>50</v>
      </c>
      <c r="AF232">
        <v>50</v>
      </c>
      <c r="AG232">
        <v>50</v>
      </c>
      <c r="AH232">
        <v>50</v>
      </c>
      <c r="AI232">
        <v>50</v>
      </c>
      <c r="AJ232">
        <v>50</v>
      </c>
      <c r="AK232">
        <v>50</v>
      </c>
      <c r="AL232">
        <v>50</v>
      </c>
      <c r="AM232">
        <v>50</v>
      </c>
      <c r="AN232">
        <v>50</v>
      </c>
      <c r="AO232">
        <v>50</v>
      </c>
      <c r="AP232">
        <v>50</v>
      </c>
      <c r="AQ232">
        <v>50</v>
      </c>
      <c r="AR232">
        <v>50</v>
      </c>
      <c r="AS232">
        <v>50</v>
      </c>
      <c r="AT232">
        <v>50</v>
      </c>
      <c r="AU232">
        <v>50</v>
      </c>
      <c r="AV232">
        <v>50</v>
      </c>
      <c r="AW232">
        <v>50</v>
      </c>
      <c r="AX232">
        <v>50</v>
      </c>
      <c r="AY232">
        <v>50</v>
      </c>
      <c r="AZ232">
        <v>50</v>
      </c>
      <c r="BA232">
        <v>50</v>
      </c>
      <c r="BB232">
        <v>50</v>
      </c>
      <c r="BC232">
        <v>50</v>
      </c>
      <c r="BD232">
        <v>50</v>
      </c>
      <c r="BE232">
        <v>50</v>
      </c>
      <c r="BF232">
        <v>50</v>
      </c>
      <c r="BG232">
        <v>50</v>
      </c>
      <c r="BH232">
        <v>50</v>
      </c>
      <c r="BI232">
        <v>50</v>
      </c>
      <c r="BJ232">
        <v>50</v>
      </c>
      <c r="BK232">
        <v>50</v>
      </c>
      <c r="BL232">
        <v>50</v>
      </c>
      <c r="BM232">
        <v>50</v>
      </c>
      <c r="BN232">
        <v>50</v>
      </c>
      <c r="BO232">
        <v>50</v>
      </c>
      <c r="BP232">
        <v>50</v>
      </c>
      <c r="BQ232">
        <v>50</v>
      </c>
      <c r="BR232">
        <v>50</v>
      </c>
      <c r="BS232" s="180">
        <v>50</v>
      </c>
      <c r="BT232" s="180">
        <v>50</v>
      </c>
      <c r="BU232" s="180">
        <v>50</v>
      </c>
      <c r="BV232" s="180">
        <v>50</v>
      </c>
      <c r="BW232" s="180">
        <v>50</v>
      </c>
      <c r="BX232" s="180">
        <v>50</v>
      </c>
      <c r="BY232" s="180">
        <v>50</v>
      </c>
      <c r="BZ232" s="180">
        <v>50</v>
      </c>
      <c r="CA232" s="180">
        <v>50</v>
      </c>
      <c r="CB232" s="180">
        <v>50</v>
      </c>
      <c r="CC232" s="180">
        <v>50</v>
      </c>
      <c r="CD232" s="180">
        <v>50</v>
      </c>
      <c r="CE232" s="180"/>
      <c r="CF232" s="180"/>
      <c r="CG232" s="180"/>
      <c r="CH232" s="180"/>
      <c r="CI232" s="180"/>
      <c r="CJ232" s="180"/>
      <c r="CK232" s="180"/>
      <c r="CL232" s="180"/>
      <c r="CM232" s="180"/>
      <c r="CN232" s="180"/>
      <c r="CO232" s="180"/>
      <c r="CP232" s="180"/>
      <c r="CQ232" s="180"/>
      <c r="CR232" s="180"/>
      <c r="CS232" s="180"/>
      <c r="CT232" s="180"/>
      <c r="CU232" s="180"/>
    </row>
    <row r="233" spans="1:99" x14ac:dyDescent="0.3">
      <c r="A233">
        <v>999</v>
      </c>
      <c r="B233" t="s">
        <v>278</v>
      </c>
      <c r="D233">
        <v>50129</v>
      </c>
      <c r="E233">
        <v>50130</v>
      </c>
      <c r="F233">
        <v>50560</v>
      </c>
      <c r="G233">
        <v>50131</v>
      </c>
      <c r="H233">
        <v>50132</v>
      </c>
      <c r="I233">
        <v>50133</v>
      </c>
      <c r="J233">
        <v>50134</v>
      </c>
      <c r="K233">
        <v>50473</v>
      </c>
      <c r="L233">
        <v>50135</v>
      </c>
      <c r="M233">
        <v>50136</v>
      </c>
      <c r="N233">
        <v>50514</v>
      </c>
      <c r="O233">
        <v>50515</v>
      </c>
      <c r="P233">
        <v>50570</v>
      </c>
      <c r="Q233">
        <v>50137</v>
      </c>
      <c r="R233">
        <v>50549</v>
      </c>
      <c r="S233">
        <v>50138</v>
      </c>
      <c r="T233">
        <v>50139</v>
      </c>
      <c r="U233">
        <v>50474</v>
      </c>
      <c r="V233">
        <v>50140</v>
      </c>
      <c r="W233">
        <v>50141</v>
      </c>
      <c r="X233">
        <v>50142</v>
      </c>
      <c r="Y233">
        <v>50143</v>
      </c>
      <c r="Z233">
        <v>50144</v>
      </c>
      <c r="AA233">
        <v>50492</v>
      </c>
      <c r="AB233">
        <v>50145</v>
      </c>
      <c r="AC233">
        <v>50146</v>
      </c>
      <c r="AD233">
        <v>50147</v>
      </c>
      <c r="AE233">
        <v>50148</v>
      </c>
      <c r="AF233">
        <v>50149</v>
      </c>
      <c r="AG233">
        <v>50150</v>
      </c>
      <c r="AH233">
        <v>50151</v>
      </c>
      <c r="AI233">
        <v>50152</v>
      </c>
      <c r="AJ233">
        <v>50153</v>
      </c>
      <c r="AK233">
        <v>50475</v>
      </c>
      <c r="AL233">
        <v>50154</v>
      </c>
      <c r="AM233">
        <v>50155</v>
      </c>
      <c r="AN233">
        <v>50156</v>
      </c>
      <c r="AO233">
        <v>50516</v>
      </c>
      <c r="AP233">
        <v>50157</v>
      </c>
      <c r="AQ233">
        <v>50158</v>
      </c>
      <c r="AR233">
        <v>50545</v>
      </c>
      <c r="AS233">
        <v>50517</v>
      </c>
      <c r="AT233">
        <v>50448</v>
      </c>
      <c r="AU233">
        <v>50159</v>
      </c>
      <c r="AV233">
        <v>50160</v>
      </c>
      <c r="AW233">
        <v>50161</v>
      </c>
      <c r="AX233">
        <v>50162</v>
      </c>
      <c r="AY233">
        <v>50163</v>
      </c>
      <c r="AZ233">
        <v>50165</v>
      </c>
      <c r="BA233">
        <v>50166</v>
      </c>
      <c r="BB233">
        <v>50167</v>
      </c>
      <c r="BC233">
        <v>50168</v>
      </c>
      <c r="BD233">
        <v>50169</v>
      </c>
      <c r="BE233">
        <v>50170</v>
      </c>
      <c r="BF233">
        <v>50451</v>
      </c>
      <c r="BG233">
        <v>50171</v>
      </c>
      <c r="BH233">
        <v>50172</v>
      </c>
      <c r="BI233">
        <v>50440</v>
      </c>
      <c r="BJ233">
        <v>50173</v>
      </c>
      <c r="BK233">
        <v>50547</v>
      </c>
      <c r="BL233">
        <v>50175</v>
      </c>
      <c r="BM233">
        <v>50176</v>
      </c>
      <c r="BN233">
        <v>50177</v>
      </c>
      <c r="BO233">
        <v>50178</v>
      </c>
      <c r="BP233">
        <v>50180</v>
      </c>
      <c r="BQ233">
        <v>50447</v>
      </c>
      <c r="BR233">
        <v>50179</v>
      </c>
      <c r="BS233" s="180">
        <v>50462</v>
      </c>
      <c r="BT233" s="180">
        <v>50181</v>
      </c>
      <c r="BU233" s="180">
        <v>50182</v>
      </c>
      <c r="BV233" s="180">
        <v>50183</v>
      </c>
      <c r="BW233" s="180">
        <v>50446</v>
      </c>
      <c r="BX233" s="180">
        <v>50184</v>
      </c>
      <c r="BY233" s="180">
        <v>50185</v>
      </c>
      <c r="BZ233" s="180">
        <v>50186</v>
      </c>
      <c r="CA233" s="180">
        <v>50187</v>
      </c>
      <c r="CB233" s="180">
        <v>50188</v>
      </c>
      <c r="CC233" s="180">
        <v>50189</v>
      </c>
      <c r="CD233" s="180">
        <v>50190</v>
      </c>
      <c r="CE233" s="180"/>
      <c r="CF233" s="180"/>
      <c r="CG233" s="180"/>
      <c r="CH233" s="180"/>
      <c r="CI233" s="180"/>
      <c r="CJ233" s="180"/>
      <c r="CK233" s="180"/>
      <c r="CL233" s="180"/>
      <c r="CM233" s="180"/>
      <c r="CN233" s="180"/>
      <c r="CO233" s="180"/>
      <c r="CP233" s="180"/>
      <c r="CQ233" s="180"/>
      <c r="CR233" s="180"/>
      <c r="CS233" s="180"/>
      <c r="CT233" s="180"/>
      <c r="CU233" s="180"/>
    </row>
    <row r="234" spans="1:99" x14ac:dyDescent="0.3">
      <c r="A234">
        <v>1050</v>
      </c>
      <c r="B234" t="s">
        <v>1435</v>
      </c>
      <c r="E234">
        <v>64798</v>
      </c>
      <c r="F234">
        <v>0</v>
      </c>
      <c r="G234">
        <v>31411</v>
      </c>
      <c r="H234">
        <v>0</v>
      </c>
      <c r="I234">
        <v>13933</v>
      </c>
      <c r="J234">
        <v>1100</v>
      </c>
      <c r="K234">
        <v>36554</v>
      </c>
      <c r="L234">
        <v>99614</v>
      </c>
      <c r="M234">
        <v>6250076</v>
      </c>
      <c r="N234">
        <v>0</v>
      </c>
      <c r="O234">
        <v>145500</v>
      </c>
      <c r="P234">
        <v>9842</v>
      </c>
      <c r="Q234">
        <v>206266</v>
      </c>
      <c r="R234">
        <v>6040</v>
      </c>
      <c r="S234">
        <v>1780</v>
      </c>
      <c r="T234">
        <v>61922</v>
      </c>
      <c r="U234">
        <v>0</v>
      </c>
      <c r="V234">
        <v>44115</v>
      </c>
      <c r="W234">
        <v>81171</v>
      </c>
      <c r="X234">
        <v>1621</v>
      </c>
      <c r="Y234">
        <v>71405</v>
      </c>
      <c r="Z234">
        <v>587047</v>
      </c>
      <c r="AA234">
        <v>0</v>
      </c>
      <c r="AB234">
        <v>3374</v>
      </c>
      <c r="AC234">
        <v>265576</v>
      </c>
      <c r="AD234">
        <v>19284</v>
      </c>
      <c r="AF234">
        <v>1282325</v>
      </c>
      <c r="AG234">
        <v>379</v>
      </c>
      <c r="AH234">
        <v>44734</v>
      </c>
      <c r="AI234">
        <v>65810</v>
      </c>
      <c r="AJ234">
        <v>21372</v>
      </c>
      <c r="AK234">
        <v>0</v>
      </c>
      <c r="AL234">
        <v>1009100</v>
      </c>
      <c r="AM234">
        <v>20211</v>
      </c>
      <c r="AN234">
        <v>0</v>
      </c>
      <c r="AO234">
        <v>0</v>
      </c>
      <c r="AP234">
        <v>383150</v>
      </c>
      <c r="AQ234">
        <v>92003</v>
      </c>
      <c r="AR234">
        <v>0</v>
      </c>
      <c r="AS234">
        <v>11071</v>
      </c>
      <c r="AT234">
        <v>12195</v>
      </c>
      <c r="AU234">
        <v>0</v>
      </c>
      <c r="AV234">
        <v>0</v>
      </c>
      <c r="AW234">
        <v>76267</v>
      </c>
      <c r="AX234">
        <v>9531</v>
      </c>
      <c r="AY234">
        <v>49271</v>
      </c>
      <c r="BA234">
        <v>34700</v>
      </c>
      <c r="BB234">
        <v>198497</v>
      </c>
      <c r="BC234">
        <v>16498</v>
      </c>
      <c r="BD234">
        <v>5762</v>
      </c>
      <c r="BE234">
        <v>0</v>
      </c>
      <c r="BF234">
        <v>555000</v>
      </c>
      <c r="BG234">
        <v>0</v>
      </c>
      <c r="BH234">
        <v>935178</v>
      </c>
      <c r="BI234">
        <v>37013</v>
      </c>
      <c r="BJ234">
        <v>0</v>
      </c>
      <c r="BK234">
        <v>0</v>
      </c>
      <c r="BL234">
        <v>447091</v>
      </c>
      <c r="BM234">
        <v>463357</v>
      </c>
      <c r="BN234">
        <v>8850</v>
      </c>
      <c r="BO234">
        <v>0</v>
      </c>
      <c r="BP234">
        <v>3239530</v>
      </c>
      <c r="BQ234">
        <v>18025</v>
      </c>
      <c r="BR234">
        <v>50000</v>
      </c>
      <c r="BS234" s="180">
        <v>48835</v>
      </c>
      <c r="BT234" s="180">
        <v>985985</v>
      </c>
      <c r="BU234" s="180">
        <v>4232</v>
      </c>
      <c r="BV234" s="180">
        <v>46222</v>
      </c>
      <c r="BW234" s="180">
        <v>44262</v>
      </c>
      <c r="BX234" s="180">
        <v>47867</v>
      </c>
      <c r="BY234" s="180">
        <v>0</v>
      </c>
      <c r="BZ234" s="180">
        <v>9125</v>
      </c>
      <c r="CA234" s="180">
        <v>392536</v>
      </c>
      <c r="CB234" s="180">
        <v>18286</v>
      </c>
      <c r="CC234" s="180">
        <v>126813</v>
      </c>
      <c r="CD234" s="180">
        <v>2609353</v>
      </c>
      <c r="CE234" s="180"/>
      <c r="CF234" s="180"/>
      <c r="CG234" s="180"/>
      <c r="CH234" s="180"/>
      <c r="CI234" s="180"/>
      <c r="CJ234" s="180"/>
      <c r="CK234" s="180"/>
      <c r="CL234" s="180"/>
      <c r="CM234" s="180"/>
      <c r="CN234" s="180"/>
      <c r="CO234" s="180"/>
      <c r="CP234" s="180"/>
      <c r="CQ234" s="180"/>
      <c r="CR234" s="180"/>
      <c r="CS234" s="180"/>
      <c r="CT234" s="180"/>
      <c r="CU234" s="180"/>
    </row>
    <row r="235" spans="1:99" x14ac:dyDescent="0.3">
      <c r="A235">
        <v>1051</v>
      </c>
      <c r="B235" s="551" t="s">
        <v>1638</v>
      </c>
      <c r="E235">
        <v>0</v>
      </c>
      <c r="F235">
        <v>0</v>
      </c>
      <c r="G235">
        <v>0</v>
      </c>
      <c r="H235">
        <v>0</v>
      </c>
      <c r="I235">
        <v>0</v>
      </c>
      <c r="J235">
        <v>0</v>
      </c>
      <c r="K235">
        <v>0</v>
      </c>
      <c r="L235">
        <v>0</v>
      </c>
      <c r="M235" s="551">
        <v>0</v>
      </c>
      <c r="N235">
        <v>0</v>
      </c>
      <c r="O235">
        <v>0</v>
      </c>
      <c r="P235">
        <v>0</v>
      </c>
      <c r="Q235">
        <v>0</v>
      </c>
      <c r="R235">
        <v>0</v>
      </c>
      <c r="S235">
        <v>0</v>
      </c>
      <c r="T235">
        <v>0</v>
      </c>
      <c r="U235">
        <v>0</v>
      </c>
      <c r="V235">
        <v>0</v>
      </c>
      <c r="W235">
        <v>0</v>
      </c>
      <c r="X235">
        <v>0</v>
      </c>
      <c r="Y235">
        <v>0</v>
      </c>
      <c r="Z235">
        <v>0</v>
      </c>
      <c r="AA235">
        <v>0</v>
      </c>
      <c r="AB235">
        <v>0</v>
      </c>
      <c r="AC235">
        <v>0</v>
      </c>
      <c r="AD235">
        <v>0</v>
      </c>
      <c r="AF235">
        <v>5176300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BA235">
        <v>0</v>
      </c>
      <c r="BB235">
        <v>0</v>
      </c>
      <c r="BC235">
        <v>0</v>
      </c>
      <c r="BD235">
        <v>0</v>
      </c>
      <c r="BE235">
        <v>0</v>
      </c>
      <c r="BF235">
        <v>0</v>
      </c>
      <c r="BG235">
        <v>0</v>
      </c>
      <c r="BH235">
        <v>0</v>
      </c>
      <c r="BI235">
        <v>0</v>
      </c>
      <c r="BJ235">
        <v>0</v>
      </c>
      <c r="BK235">
        <v>0</v>
      </c>
      <c r="BL235">
        <v>0</v>
      </c>
      <c r="BM235">
        <v>0</v>
      </c>
      <c r="BN235">
        <v>0</v>
      </c>
      <c r="BO235">
        <v>0</v>
      </c>
      <c r="BP235">
        <v>4840000</v>
      </c>
      <c r="BQ235">
        <v>0</v>
      </c>
      <c r="BR235">
        <v>0</v>
      </c>
      <c r="BS235" s="180">
        <v>0</v>
      </c>
      <c r="BT235" s="180">
        <v>0</v>
      </c>
      <c r="BU235" s="180">
        <v>0</v>
      </c>
      <c r="BV235" s="180">
        <v>0</v>
      </c>
      <c r="BW235" s="180">
        <v>0</v>
      </c>
      <c r="BX235" s="180">
        <v>0</v>
      </c>
      <c r="BY235" s="180">
        <v>0</v>
      </c>
      <c r="BZ235" s="180">
        <v>0</v>
      </c>
      <c r="CA235" s="180">
        <v>0</v>
      </c>
      <c r="CB235" s="180">
        <v>0</v>
      </c>
      <c r="CC235" s="180">
        <v>0</v>
      </c>
      <c r="CD235" s="180">
        <v>0</v>
      </c>
      <c r="CE235" s="180"/>
      <c r="CF235" s="180"/>
      <c r="CG235" s="180"/>
      <c r="CH235" s="180"/>
      <c r="CI235" s="180"/>
      <c r="CJ235" s="180"/>
      <c r="CK235" s="180"/>
      <c r="CL235" s="180"/>
      <c r="CM235" s="180"/>
      <c r="CN235" s="180"/>
      <c r="CO235" s="180"/>
      <c r="CP235" s="180"/>
      <c r="CQ235" s="180"/>
      <c r="CR235" s="180"/>
      <c r="CS235" s="180"/>
      <c r="CT235" s="180"/>
      <c r="CU235" s="180"/>
    </row>
    <row r="236" spans="1:99" x14ac:dyDescent="0.3">
      <c r="A236">
        <v>1052</v>
      </c>
      <c r="B236" t="s">
        <v>1639</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F236">
        <v>0</v>
      </c>
      <c r="AG236">
        <v>0</v>
      </c>
      <c r="AH236">
        <v>0</v>
      </c>
      <c r="AI236">
        <v>0</v>
      </c>
      <c r="AJ236">
        <v>0</v>
      </c>
      <c r="AK236">
        <v>0</v>
      </c>
      <c r="AL236">
        <v>0</v>
      </c>
      <c r="AM236">
        <v>0</v>
      </c>
      <c r="AN236">
        <v>0</v>
      </c>
      <c r="AO236">
        <v>0</v>
      </c>
      <c r="AP236">
        <v>0</v>
      </c>
      <c r="AQ236">
        <v>0</v>
      </c>
      <c r="AR236">
        <v>0</v>
      </c>
      <c r="AS236">
        <v>0</v>
      </c>
      <c r="AT236">
        <v>0</v>
      </c>
      <c r="AU236">
        <v>0</v>
      </c>
      <c r="AV236">
        <v>-449071</v>
      </c>
      <c r="AW236">
        <v>0</v>
      </c>
      <c r="AX236">
        <v>0</v>
      </c>
      <c r="AY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s="180">
        <v>0</v>
      </c>
      <c r="BT236" s="180">
        <v>0</v>
      </c>
      <c r="BU236" s="180">
        <v>0</v>
      </c>
      <c r="BV236" s="180">
        <v>0</v>
      </c>
      <c r="BW236" s="180">
        <v>0</v>
      </c>
      <c r="BX236" s="180">
        <v>0</v>
      </c>
      <c r="BY236" s="180">
        <v>0</v>
      </c>
      <c r="BZ236" s="180">
        <v>0</v>
      </c>
      <c r="CA236" s="180">
        <v>0</v>
      </c>
      <c r="CB236" s="180">
        <v>0</v>
      </c>
      <c r="CC236" s="180">
        <v>0</v>
      </c>
      <c r="CD236" s="180">
        <v>0</v>
      </c>
      <c r="CE236" s="180"/>
      <c r="CF236" s="180"/>
      <c r="CG236" s="180"/>
      <c r="CH236" s="180"/>
      <c r="CI236" s="180"/>
      <c r="CJ236" s="180"/>
      <c r="CK236" s="180"/>
      <c r="CL236" s="180"/>
      <c r="CM236" s="180"/>
      <c r="CN236" s="180"/>
      <c r="CO236" s="180"/>
      <c r="CP236" s="180"/>
      <c r="CQ236" s="180"/>
      <c r="CR236" s="180"/>
      <c r="CS236" s="180"/>
      <c r="CT236" s="180"/>
      <c r="CU236" s="180"/>
    </row>
    <row r="237" spans="1:99" x14ac:dyDescent="0.3">
      <c r="A237">
        <v>1053</v>
      </c>
      <c r="B237" t="s">
        <v>1640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s="180">
        <v>0</v>
      </c>
      <c r="BT237" s="180">
        <v>0</v>
      </c>
      <c r="BU237" s="180">
        <v>0</v>
      </c>
      <c r="BV237" s="180">
        <v>0</v>
      </c>
      <c r="BW237" s="180">
        <v>0</v>
      </c>
      <c r="BX237" s="180">
        <v>0</v>
      </c>
      <c r="BY237" s="180">
        <v>0</v>
      </c>
      <c r="BZ237" s="180">
        <v>0</v>
      </c>
      <c r="CA237" s="180">
        <v>0</v>
      </c>
      <c r="CB237" s="180">
        <v>0</v>
      </c>
      <c r="CC237" s="180">
        <v>0</v>
      </c>
      <c r="CD237" s="180">
        <v>0</v>
      </c>
      <c r="CE237" s="180"/>
      <c r="CF237" s="180"/>
      <c r="CG237" s="180"/>
      <c r="CH237" s="180"/>
      <c r="CI237" s="180"/>
      <c r="CJ237" s="180"/>
      <c r="CK237" s="180"/>
      <c r="CL237" s="180"/>
      <c r="CM237" s="180"/>
      <c r="CN237" s="180"/>
      <c r="CO237" s="180"/>
      <c r="CP237" s="180"/>
      <c r="CQ237" s="180"/>
      <c r="CR237" s="180"/>
      <c r="CS237" s="180"/>
      <c r="CT237" s="180"/>
      <c r="CU237" s="180"/>
    </row>
    <row r="238" spans="1:99" x14ac:dyDescent="0.3">
      <c r="A238">
        <v>1054</v>
      </c>
      <c r="B238" s="551" t="s">
        <v>1641</v>
      </c>
      <c r="E238">
        <v>0</v>
      </c>
      <c r="F238">
        <v>0</v>
      </c>
      <c r="G238">
        <v>0</v>
      </c>
      <c r="H238">
        <v>0</v>
      </c>
      <c r="I238">
        <v>0</v>
      </c>
      <c r="J238">
        <v>0</v>
      </c>
      <c r="K238">
        <v>0</v>
      </c>
      <c r="L238">
        <v>0</v>
      </c>
      <c r="M238" s="551">
        <v>0</v>
      </c>
      <c r="N238">
        <v>0</v>
      </c>
      <c r="O238">
        <v>0</v>
      </c>
      <c r="P238">
        <v>0</v>
      </c>
      <c r="Q238">
        <v>0</v>
      </c>
      <c r="R238">
        <v>0</v>
      </c>
      <c r="S238">
        <v>0</v>
      </c>
      <c r="T238">
        <v>0</v>
      </c>
      <c r="U238">
        <v>0</v>
      </c>
      <c r="V238">
        <v>0</v>
      </c>
      <c r="W238">
        <v>0</v>
      </c>
      <c r="X238">
        <v>0</v>
      </c>
      <c r="Y238">
        <v>0</v>
      </c>
      <c r="Z238">
        <v>0</v>
      </c>
      <c r="AA238">
        <v>0</v>
      </c>
      <c r="AB238">
        <v>0</v>
      </c>
      <c r="AC238">
        <v>0</v>
      </c>
      <c r="AD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s="180">
        <v>0</v>
      </c>
      <c r="BT238" s="180">
        <v>0</v>
      </c>
      <c r="BU238" s="180">
        <v>0</v>
      </c>
      <c r="BV238" s="180">
        <v>0</v>
      </c>
      <c r="BW238" s="180">
        <v>0</v>
      </c>
      <c r="BX238" s="180">
        <v>0</v>
      </c>
      <c r="BY238" s="180">
        <v>0</v>
      </c>
      <c r="BZ238" s="180">
        <v>0</v>
      </c>
      <c r="CA238" s="180">
        <v>0</v>
      </c>
      <c r="CB238" s="180">
        <v>0</v>
      </c>
      <c r="CC238" s="180">
        <v>0</v>
      </c>
      <c r="CD238" s="180">
        <v>0</v>
      </c>
      <c r="CE238" s="180"/>
      <c r="CF238" s="180"/>
      <c r="CG238" s="180"/>
      <c r="CH238" s="180"/>
      <c r="CI238" s="180"/>
      <c r="CJ238" s="180"/>
      <c r="CK238" s="180"/>
      <c r="CL238" s="180"/>
      <c r="CM238" s="180"/>
      <c r="CN238" s="180"/>
      <c r="CO238" s="180"/>
      <c r="CP238" s="180"/>
      <c r="CQ238" s="180"/>
      <c r="CR238" s="180"/>
      <c r="CS238" s="180"/>
      <c r="CT238" s="180"/>
      <c r="CU238" s="180"/>
    </row>
    <row r="239" spans="1:99" x14ac:dyDescent="0.3">
      <c r="A239">
        <v>1055</v>
      </c>
      <c r="B239" t="s">
        <v>1642</v>
      </c>
      <c r="E239">
        <v>2</v>
      </c>
      <c r="F239">
        <v>2</v>
      </c>
      <c r="G239">
        <v>2</v>
      </c>
      <c r="H239">
        <v>2</v>
      </c>
      <c r="I239">
        <v>2</v>
      </c>
      <c r="J239">
        <v>2</v>
      </c>
      <c r="K239">
        <v>2</v>
      </c>
      <c r="L239">
        <v>2</v>
      </c>
      <c r="M239">
        <v>2</v>
      </c>
      <c r="N239">
        <v>2</v>
      </c>
      <c r="O239">
        <v>2</v>
      </c>
      <c r="P239">
        <v>2</v>
      </c>
      <c r="Q239">
        <v>2</v>
      </c>
      <c r="R239">
        <v>2</v>
      </c>
      <c r="S239">
        <v>1</v>
      </c>
      <c r="T239">
        <v>2</v>
      </c>
      <c r="U239">
        <v>2</v>
      </c>
      <c r="V239">
        <v>2</v>
      </c>
      <c r="W239">
        <v>2</v>
      </c>
      <c r="X239">
        <v>2</v>
      </c>
      <c r="Y239">
        <v>2</v>
      </c>
      <c r="Z239">
        <v>2</v>
      </c>
      <c r="AA239">
        <v>2</v>
      </c>
      <c r="AB239">
        <v>2</v>
      </c>
      <c r="AC239">
        <v>2</v>
      </c>
      <c r="AD239">
        <v>2</v>
      </c>
      <c r="AF239">
        <v>2</v>
      </c>
      <c r="AG239">
        <v>2</v>
      </c>
      <c r="AH239">
        <v>1</v>
      </c>
      <c r="AI239">
        <v>2</v>
      </c>
      <c r="AJ239">
        <v>2</v>
      </c>
      <c r="AK239">
        <v>1</v>
      </c>
      <c r="AL239">
        <v>2</v>
      </c>
      <c r="AM239">
        <v>2</v>
      </c>
      <c r="AN239">
        <v>2</v>
      </c>
      <c r="AO239">
        <v>2</v>
      </c>
      <c r="AP239">
        <v>2</v>
      </c>
      <c r="AQ239">
        <v>2</v>
      </c>
      <c r="AR239">
        <v>2</v>
      </c>
      <c r="AS239">
        <v>2</v>
      </c>
      <c r="AT239">
        <v>2</v>
      </c>
      <c r="AU239">
        <v>2</v>
      </c>
      <c r="AV239">
        <v>2</v>
      </c>
      <c r="AW239">
        <v>2</v>
      </c>
      <c r="AX239">
        <v>1</v>
      </c>
      <c r="AY239">
        <v>2</v>
      </c>
      <c r="BA239">
        <v>2</v>
      </c>
      <c r="BB239">
        <v>2</v>
      </c>
      <c r="BC239">
        <v>2</v>
      </c>
      <c r="BD239">
        <v>1</v>
      </c>
      <c r="BE239">
        <v>2</v>
      </c>
      <c r="BF239">
        <v>2</v>
      </c>
      <c r="BG239">
        <v>2</v>
      </c>
      <c r="BH239">
        <v>2</v>
      </c>
      <c r="BI239">
        <v>1</v>
      </c>
      <c r="BJ239">
        <v>2</v>
      </c>
      <c r="BK239">
        <v>2</v>
      </c>
      <c r="BL239">
        <v>2</v>
      </c>
      <c r="BM239">
        <v>2</v>
      </c>
      <c r="BN239">
        <v>2</v>
      </c>
      <c r="BO239">
        <v>1</v>
      </c>
      <c r="BP239">
        <v>2</v>
      </c>
      <c r="BQ239">
        <v>2</v>
      </c>
      <c r="BR239">
        <v>2</v>
      </c>
      <c r="BS239" s="180">
        <v>2</v>
      </c>
      <c r="BT239" s="180">
        <v>2</v>
      </c>
      <c r="BU239" s="180">
        <v>2</v>
      </c>
      <c r="BV239" s="180">
        <v>2</v>
      </c>
      <c r="BW239" s="180">
        <v>2</v>
      </c>
      <c r="BX239" s="180">
        <v>2</v>
      </c>
      <c r="BY239" s="180">
        <v>2</v>
      </c>
      <c r="BZ239" s="180">
        <v>2</v>
      </c>
      <c r="CA239" s="180">
        <v>2</v>
      </c>
      <c r="CB239" s="180">
        <v>2</v>
      </c>
      <c r="CC239" s="180">
        <v>2</v>
      </c>
      <c r="CD239" s="180">
        <v>2</v>
      </c>
      <c r="CE239" s="180"/>
      <c r="CF239" s="180"/>
      <c r="CG239" s="180"/>
      <c r="CH239" s="180"/>
      <c r="CI239" s="180"/>
      <c r="CJ239" s="180"/>
      <c r="CK239" s="180"/>
      <c r="CL239" s="180"/>
      <c r="CM239" s="180"/>
      <c r="CN239" s="180"/>
      <c r="CO239" s="180"/>
      <c r="CP239" s="180"/>
      <c r="CQ239" s="180"/>
      <c r="CR239" s="180"/>
      <c r="CS239" s="180"/>
      <c r="CT239" s="180"/>
      <c r="CU239" s="180"/>
    </row>
    <row r="240" spans="1:99" x14ac:dyDescent="0.3">
      <c r="A240">
        <v>1056</v>
      </c>
      <c r="B240" t="s">
        <v>1643</v>
      </c>
      <c r="E240">
        <v>1</v>
      </c>
      <c r="F240">
        <v>2</v>
      </c>
      <c r="G240">
        <v>2</v>
      </c>
      <c r="H240">
        <v>2</v>
      </c>
      <c r="I240">
        <v>2</v>
      </c>
      <c r="J240">
        <v>2</v>
      </c>
      <c r="K240">
        <v>2</v>
      </c>
      <c r="L240">
        <v>2</v>
      </c>
      <c r="M240">
        <v>2</v>
      </c>
      <c r="N240">
        <v>2</v>
      </c>
      <c r="O240">
        <v>2</v>
      </c>
      <c r="P240">
        <v>2</v>
      </c>
      <c r="Q240">
        <v>2</v>
      </c>
      <c r="R240">
        <v>2</v>
      </c>
      <c r="S240">
        <v>1</v>
      </c>
      <c r="T240">
        <v>2</v>
      </c>
      <c r="U240">
        <v>2</v>
      </c>
      <c r="V240">
        <v>2</v>
      </c>
      <c r="W240">
        <v>2</v>
      </c>
      <c r="X240">
        <v>2</v>
      </c>
      <c r="Y240">
        <v>2</v>
      </c>
      <c r="Z240">
        <v>2</v>
      </c>
      <c r="AA240">
        <v>2</v>
      </c>
      <c r="AB240">
        <v>2</v>
      </c>
      <c r="AC240">
        <v>2</v>
      </c>
      <c r="AD240">
        <v>2</v>
      </c>
      <c r="AF240">
        <v>2</v>
      </c>
      <c r="AG240">
        <v>2</v>
      </c>
      <c r="AH240">
        <v>2</v>
      </c>
      <c r="AI240">
        <v>2</v>
      </c>
      <c r="AJ240">
        <v>2</v>
      </c>
      <c r="AK240">
        <v>1</v>
      </c>
      <c r="AL240">
        <v>2</v>
      </c>
      <c r="AM240">
        <v>2</v>
      </c>
      <c r="AN240">
        <v>2</v>
      </c>
      <c r="AO240">
        <v>2</v>
      </c>
      <c r="AP240">
        <v>2</v>
      </c>
      <c r="AQ240">
        <v>2</v>
      </c>
      <c r="AR240">
        <v>2</v>
      </c>
      <c r="AS240">
        <v>1</v>
      </c>
      <c r="AT240">
        <v>2</v>
      </c>
      <c r="AU240">
        <v>2</v>
      </c>
      <c r="AV240">
        <v>2</v>
      </c>
      <c r="AW240">
        <v>2</v>
      </c>
      <c r="AX240">
        <v>2</v>
      </c>
      <c r="AY240">
        <v>2</v>
      </c>
      <c r="BA240">
        <v>1</v>
      </c>
      <c r="BB240">
        <v>2</v>
      </c>
      <c r="BC240">
        <v>2</v>
      </c>
      <c r="BD240">
        <v>2</v>
      </c>
      <c r="BE240">
        <v>2</v>
      </c>
      <c r="BF240">
        <v>2</v>
      </c>
      <c r="BG240">
        <v>2</v>
      </c>
      <c r="BH240">
        <v>2</v>
      </c>
      <c r="BI240">
        <v>2</v>
      </c>
      <c r="BJ240">
        <v>2</v>
      </c>
      <c r="BK240">
        <v>2</v>
      </c>
      <c r="BL240">
        <v>2</v>
      </c>
      <c r="BM240">
        <v>2</v>
      </c>
      <c r="BN240">
        <v>2</v>
      </c>
      <c r="BO240">
        <v>2</v>
      </c>
      <c r="BP240">
        <v>2</v>
      </c>
      <c r="BQ240">
        <v>2</v>
      </c>
      <c r="BR240">
        <v>2</v>
      </c>
      <c r="BS240" s="180">
        <v>2</v>
      </c>
      <c r="BT240" s="180">
        <v>2</v>
      </c>
      <c r="BU240" s="180">
        <v>2</v>
      </c>
      <c r="BV240" s="180">
        <v>2</v>
      </c>
      <c r="BW240" s="180">
        <v>2</v>
      </c>
      <c r="BX240" s="180">
        <v>2</v>
      </c>
      <c r="BY240" s="180">
        <v>2</v>
      </c>
      <c r="BZ240" s="180">
        <v>2</v>
      </c>
      <c r="CA240" s="180">
        <v>2</v>
      </c>
      <c r="CB240" s="180">
        <v>2</v>
      </c>
      <c r="CC240" s="180">
        <v>2</v>
      </c>
      <c r="CD240" s="180">
        <v>2</v>
      </c>
      <c r="CE240" s="180"/>
      <c r="CF240" s="180"/>
      <c r="CG240" s="180"/>
      <c r="CH240" s="180"/>
      <c r="CI240" s="180"/>
      <c r="CJ240" s="180"/>
      <c r="CK240" s="180"/>
      <c r="CL240" s="180"/>
      <c r="CM240" s="180"/>
      <c r="CN240" s="180"/>
      <c r="CO240" s="180"/>
      <c r="CP240" s="180"/>
      <c r="CQ240" s="180"/>
      <c r="CR240" s="180"/>
      <c r="CS240" s="180"/>
      <c r="CT240" s="180"/>
      <c r="CU240" s="180"/>
    </row>
    <row r="241" spans="1:99" x14ac:dyDescent="0.3">
      <c r="A241">
        <v>1057</v>
      </c>
      <c r="B241" t="s">
        <v>1887</v>
      </c>
      <c r="E241">
        <v>2</v>
      </c>
      <c r="F241">
        <v>2</v>
      </c>
      <c r="G241">
        <v>2</v>
      </c>
      <c r="H241">
        <v>2</v>
      </c>
      <c r="I241">
        <v>2</v>
      </c>
      <c r="J241">
        <v>2</v>
      </c>
      <c r="K241">
        <v>2</v>
      </c>
      <c r="L241">
        <v>2</v>
      </c>
      <c r="M241">
        <v>2</v>
      </c>
      <c r="N241">
        <v>2</v>
      </c>
      <c r="O241">
        <v>2</v>
      </c>
      <c r="P241">
        <v>2</v>
      </c>
      <c r="Q241">
        <v>2</v>
      </c>
      <c r="R241">
        <v>1</v>
      </c>
      <c r="S241">
        <v>2</v>
      </c>
      <c r="T241">
        <v>2</v>
      </c>
      <c r="U241">
        <v>2</v>
      </c>
      <c r="V241">
        <v>2</v>
      </c>
      <c r="W241">
        <v>2</v>
      </c>
      <c r="X241">
        <v>2</v>
      </c>
      <c r="Y241">
        <v>1</v>
      </c>
      <c r="Z241">
        <v>2</v>
      </c>
      <c r="AA241">
        <v>2</v>
      </c>
      <c r="AB241">
        <v>2</v>
      </c>
      <c r="AC241">
        <v>2</v>
      </c>
      <c r="AD241">
        <v>1</v>
      </c>
      <c r="AF241">
        <v>2</v>
      </c>
      <c r="AG241">
        <v>2</v>
      </c>
      <c r="AH241">
        <v>2</v>
      </c>
      <c r="AI241">
        <v>2</v>
      </c>
      <c r="AJ241">
        <v>2</v>
      </c>
      <c r="AK241">
        <v>2</v>
      </c>
      <c r="AL241">
        <v>1</v>
      </c>
      <c r="AM241">
        <v>2</v>
      </c>
      <c r="AN241">
        <v>2</v>
      </c>
      <c r="AO241">
        <v>2</v>
      </c>
      <c r="AP241">
        <v>2</v>
      </c>
      <c r="AQ241">
        <v>2</v>
      </c>
      <c r="AR241">
        <v>2</v>
      </c>
      <c r="AS241">
        <v>2</v>
      </c>
      <c r="AT241">
        <v>2</v>
      </c>
      <c r="AU241">
        <v>2</v>
      </c>
      <c r="AV241">
        <v>2</v>
      </c>
      <c r="AW241">
        <v>1</v>
      </c>
      <c r="AX241">
        <v>1</v>
      </c>
      <c r="AY241">
        <v>1</v>
      </c>
      <c r="BA241">
        <v>1</v>
      </c>
      <c r="BB241">
        <v>2</v>
      </c>
      <c r="BC241">
        <v>2</v>
      </c>
      <c r="BD241">
        <v>2</v>
      </c>
      <c r="BE241">
        <v>2</v>
      </c>
      <c r="BF241">
        <v>2</v>
      </c>
      <c r="BG241">
        <v>2</v>
      </c>
      <c r="BH241">
        <v>2</v>
      </c>
      <c r="BI241">
        <v>1</v>
      </c>
      <c r="BJ241">
        <v>2</v>
      </c>
      <c r="BK241">
        <v>2</v>
      </c>
      <c r="BL241">
        <v>2</v>
      </c>
      <c r="BM241">
        <v>2</v>
      </c>
      <c r="BN241">
        <v>1</v>
      </c>
      <c r="BO241">
        <v>2</v>
      </c>
      <c r="BP241">
        <v>2</v>
      </c>
      <c r="BQ241">
        <v>2</v>
      </c>
      <c r="BR241">
        <v>2</v>
      </c>
      <c r="BS241" s="180">
        <v>2</v>
      </c>
      <c r="BT241" s="180">
        <v>2</v>
      </c>
      <c r="BU241" s="180">
        <v>2</v>
      </c>
      <c r="BV241" s="180">
        <v>1</v>
      </c>
      <c r="BW241" s="180">
        <v>2</v>
      </c>
      <c r="BX241" s="180">
        <v>2</v>
      </c>
      <c r="BY241" s="180">
        <v>2</v>
      </c>
      <c r="BZ241" s="180">
        <v>2</v>
      </c>
      <c r="CA241" s="180">
        <v>1</v>
      </c>
      <c r="CB241" s="180">
        <v>2</v>
      </c>
      <c r="CC241" s="180">
        <v>2</v>
      </c>
      <c r="CD241" s="180">
        <v>2</v>
      </c>
      <c r="CE241" s="180"/>
      <c r="CF241" s="180"/>
      <c r="CG241" s="180"/>
      <c r="CH241" s="180"/>
      <c r="CI241" s="180"/>
      <c r="CJ241" s="180"/>
      <c r="CK241" s="180"/>
      <c r="CL241" s="180"/>
      <c r="CM241" s="180"/>
      <c r="CN241" s="180"/>
      <c r="CO241" s="180"/>
      <c r="CP241" s="180"/>
      <c r="CQ241" s="180"/>
      <c r="CR241" s="180"/>
      <c r="CS241" s="180"/>
      <c r="CT241" s="180"/>
      <c r="CU241" s="180"/>
    </row>
    <row r="242" spans="1:99" x14ac:dyDescent="0.3">
      <c r="A242">
        <v>1058</v>
      </c>
      <c r="B242" t="s">
        <v>1443</v>
      </c>
      <c r="E242">
        <v>2</v>
      </c>
      <c r="F242">
        <v>2</v>
      </c>
      <c r="G242">
        <v>2</v>
      </c>
      <c r="H242">
        <v>2</v>
      </c>
      <c r="I242">
        <v>2</v>
      </c>
      <c r="J242">
        <v>2</v>
      </c>
      <c r="K242">
        <v>2</v>
      </c>
      <c r="L242">
        <v>2</v>
      </c>
      <c r="M242">
        <v>1</v>
      </c>
      <c r="N242">
        <v>2</v>
      </c>
      <c r="O242">
        <v>2</v>
      </c>
      <c r="P242">
        <v>2</v>
      </c>
      <c r="Q242">
        <v>2</v>
      </c>
      <c r="R242">
        <v>2</v>
      </c>
      <c r="S242">
        <v>1</v>
      </c>
      <c r="T242">
        <v>1</v>
      </c>
      <c r="U242">
        <v>2</v>
      </c>
      <c r="V242">
        <v>2</v>
      </c>
      <c r="W242">
        <v>2</v>
      </c>
      <c r="X242">
        <v>2</v>
      </c>
      <c r="Y242">
        <v>1</v>
      </c>
      <c r="Z242">
        <v>2</v>
      </c>
      <c r="AA242">
        <v>2</v>
      </c>
      <c r="AB242">
        <v>1</v>
      </c>
      <c r="AC242">
        <v>2</v>
      </c>
      <c r="AD242">
        <v>2</v>
      </c>
      <c r="AF242">
        <v>2</v>
      </c>
      <c r="AG242">
        <v>2</v>
      </c>
      <c r="AH242">
        <v>2</v>
      </c>
      <c r="AI242">
        <v>2</v>
      </c>
      <c r="AJ242">
        <v>2</v>
      </c>
      <c r="AK242">
        <v>1</v>
      </c>
      <c r="AL242">
        <v>1</v>
      </c>
      <c r="AM242">
        <v>2</v>
      </c>
      <c r="AN242">
        <v>2</v>
      </c>
      <c r="AO242">
        <v>2</v>
      </c>
      <c r="AP242">
        <v>2</v>
      </c>
      <c r="AQ242">
        <v>2</v>
      </c>
      <c r="AR242">
        <v>2</v>
      </c>
      <c r="AS242">
        <v>2</v>
      </c>
      <c r="AT242">
        <v>2</v>
      </c>
      <c r="AU242">
        <v>2</v>
      </c>
      <c r="AV242">
        <v>2</v>
      </c>
      <c r="AW242">
        <v>2</v>
      </c>
      <c r="AX242">
        <v>2</v>
      </c>
      <c r="AY242">
        <v>2</v>
      </c>
      <c r="BA242">
        <v>1</v>
      </c>
      <c r="BB242">
        <v>2</v>
      </c>
      <c r="BC242">
        <v>2</v>
      </c>
      <c r="BD242">
        <v>2</v>
      </c>
      <c r="BE242">
        <v>2</v>
      </c>
      <c r="BF242">
        <v>2</v>
      </c>
      <c r="BG242">
        <v>2</v>
      </c>
      <c r="BH242">
        <v>2</v>
      </c>
      <c r="BI242">
        <v>2</v>
      </c>
      <c r="BJ242">
        <v>2</v>
      </c>
      <c r="BK242">
        <v>2</v>
      </c>
      <c r="BL242">
        <v>2</v>
      </c>
      <c r="BM242">
        <v>2</v>
      </c>
      <c r="BN242">
        <v>2</v>
      </c>
      <c r="BO242">
        <v>2</v>
      </c>
      <c r="BP242">
        <v>2</v>
      </c>
      <c r="BQ242">
        <v>2</v>
      </c>
      <c r="BR242">
        <v>2</v>
      </c>
      <c r="BS242" s="180">
        <v>2</v>
      </c>
      <c r="BT242" s="180">
        <v>2</v>
      </c>
      <c r="BU242" s="180">
        <v>1</v>
      </c>
      <c r="BV242" s="180">
        <v>2</v>
      </c>
      <c r="BW242" s="180">
        <v>2</v>
      </c>
      <c r="BX242" s="180">
        <v>2</v>
      </c>
      <c r="BY242" s="180">
        <v>2</v>
      </c>
      <c r="BZ242" s="180">
        <v>1</v>
      </c>
      <c r="CA242" s="180">
        <v>2</v>
      </c>
      <c r="CB242" s="180">
        <v>2</v>
      </c>
      <c r="CC242" s="180">
        <v>2</v>
      </c>
      <c r="CD242" s="180">
        <v>2</v>
      </c>
      <c r="CE242" s="180"/>
      <c r="CF242" s="180"/>
      <c r="CG242" s="180"/>
      <c r="CH242" s="180"/>
      <c r="CI242" s="180"/>
      <c r="CJ242" s="180"/>
      <c r="CK242" s="180"/>
      <c r="CL242" s="180"/>
      <c r="CM242" s="180"/>
      <c r="CN242" s="180"/>
      <c r="CO242" s="180"/>
      <c r="CP242" s="180"/>
      <c r="CQ242" s="180"/>
      <c r="CR242" s="180"/>
      <c r="CS242" s="180"/>
      <c r="CT242" s="180"/>
      <c r="CU242" s="180"/>
    </row>
    <row r="243" spans="1:99" x14ac:dyDescent="0.3">
      <c r="A243">
        <v>1059</v>
      </c>
      <c r="B243" t="s">
        <v>1644</v>
      </c>
      <c r="E243">
        <v>1</v>
      </c>
      <c r="F243">
        <v>1</v>
      </c>
      <c r="G243">
        <v>1</v>
      </c>
      <c r="H243">
        <v>1</v>
      </c>
      <c r="I243">
        <v>1</v>
      </c>
      <c r="J243">
        <v>1</v>
      </c>
      <c r="K243">
        <v>1</v>
      </c>
      <c r="L243">
        <v>1</v>
      </c>
      <c r="M243">
        <v>1</v>
      </c>
      <c r="N243">
        <v>1</v>
      </c>
      <c r="O243">
        <v>1</v>
      </c>
      <c r="P243">
        <v>1</v>
      </c>
      <c r="Q243">
        <v>1</v>
      </c>
      <c r="R243">
        <v>1</v>
      </c>
      <c r="S243">
        <v>1</v>
      </c>
      <c r="T243">
        <v>1</v>
      </c>
      <c r="U243">
        <v>1</v>
      </c>
      <c r="V243">
        <v>1</v>
      </c>
      <c r="W243">
        <v>1</v>
      </c>
      <c r="X243">
        <v>1</v>
      </c>
      <c r="Y243">
        <v>1</v>
      </c>
      <c r="Z243">
        <v>1</v>
      </c>
      <c r="AA243">
        <v>1</v>
      </c>
      <c r="AB243">
        <v>1</v>
      </c>
      <c r="AC243">
        <v>1</v>
      </c>
      <c r="AD243">
        <v>1</v>
      </c>
      <c r="AF243">
        <v>1</v>
      </c>
      <c r="AG243">
        <v>1</v>
      </c>
      <c r="AH243">
        <v>1</v>
      </c>
      <c r="AI243">
        <v>1</v>
      </c>
      <c r="AJ243">
        <v>1</v>
      </c>
      <c r="AK243">
        <v>1</v>
      </c>
      <c r="AL243">
        <v>1</v>
      </c>
      <c r="AM243">
        <v>1</v>
      </c>
      <c r="AN243">
        <v>1</v>
      </c>
      <c r="AO243">
        <v>1</v>
      </c>
      <c r="AP243">
        <v>1</v>
      </c>
      <c r="AQ243">
        <v>1</v>
      </c>
      <c r="AR243">
        <v>1</v>
      </c>
      <c r="AS243">
        <v>1</v>
      </c>
      <c r="AT243">
        <v>1</v>
      </c>
      <c r="AU243">
        <v>1</v>
      </c>
      <c r="AV243">
        <v>1</v>
      </c>
      <c r="AW243">
        <v>1</v>
      </c>
      <c r="AX243">
        <v>1</v>
      </c>
      <c r="AY243">
        <v>1</v>
      </c>
      <c r="BA243">
        <v>1</v>
      </c>
      <c r="BB243">
        <v>1</v>
      </c>
      <c r="BC243">
        <v>1</v>
      </c>
      <c r="BD243">
        <v>1</v>
      </c>
      <c r="BE243">
        <v>1</v>
      </c>
      <c r="BF243">
        <v>1</v>
      </c>
      <c r="BG243">
        <v>1</v>
      </c>
      <c r="BH243">
        <v>1</v>
      </c>
      <c r="BI243">
        <v>1</v>
      </c>
      <c r="BJ243">
        <v>1</v>
      </c>
      <c r="BK243">
        <v>1</v>
      </c>
      <c r="BL243">
        <v>1</v>
      </c>
      <c r="BM243">
        <v>1</v>
      </c>
      <c r="BN243">
        <v>1</v>
      </c>
      <c r="BO243">
        <v>1</v>
      </c>
      <c r="BP243">
        <v>1</v>
      </c>
      <c r="BQ243">
        <v>1</v>
      </c>
      <c r="BR243">
        <v>1</v>
      </c>
      <c r="BS243" s="180">
        <v>1</v>
      </c>
      <c r="BT243" s="180">
        <v>1</v>
      </c>
      <c r="BU243" s="180">
        <v>1</v>
      </c>
      <c r="BV243" s="180">
        <v>1</v>
      </c>
      <c r="BW243" s="180">
        <v>1</v>
      </c>
      <c r="BX243" s="180">
        <v>1</v>
      </c>
      <c r="BY243" s="180">
        <v>1</v>
      </c>
      <c r="BZ243" s="180">
        <v>1</v>
      </c>
      <c r="CA243" s="180">
        <v>1</v>
      </c>
      <c r="CB243" s="180">
        <v>1</v>
      </c>
      <c r="CC243" s="180">
        <v>1</v>
      </c>
      <c r="CD243" s="180">
        <v>1</v>
      </c>
      <c r="CE243" s="180"/>
      <c r="CF243" s="180"/>
      <c r="CG243" s="180"/>
      <c r="CH243" s="180"/>
      <c r="CI243" s="180"/>
      <c r="CJ243" s="180"/>
      <c r="CK243" s="180"/>
      <c r="CL243" s="180"/>
      <c r="CM243" s="180"/>
      <c r="CN243" s="180"/>
      <c r="CO243" s="180"/>
      <c r="CP243" s="180"/>
      <c r="CQ243" s="180"/>
      <c r="CR243" s="180"/>
      <c r="CS243" s="180"/>
      <c r="CT243" s="180"/>
      <c r="CU243" s="180"/>
    </row>
    <row r="244" spans="1:99" x14ac:dyDescent="0.3">
      <c r="A244">
        <v>1060</v>
      </c>
      <c r="B244" t="s">
        <v>1645</v>
      </c>
      <c r="E244">
        <v>0</v>
      </c>
      <c r="F244">
        <v>246012</v>
      </c>
      <c r="G244">
        <v>0</v>
      </c>
      <c r="H244">
        <v>90063</v>
      </c>
      <c r="I244">
        <v>86098</v>
      </c>
      <c r="J244">
        <v>0</v>
      </c>
      <c r="K244">
        <v>22397</v>
      </c>
      <c r="L244">
        <v>1518275</v>
      </c>
      <c r="M244">
        <v>17061233</v>
      </c>
      <c r="N244">
        <v>815110</v>
      </c>
      <c r="O244">
        <v>2667179</v>
      </c>
      <c r="P244">
        <v>2231</v>
      </c>
      <c r="Q244">
        <v>2282511</v>
      </c>
      <c r="R244">
        <v>14182</v>
      </c>
      <c r="S244">
        <v>0</v>
      </c>
      <c r="T244">
        <v>718344</v>
      </c>
      <c r="U244">
        <v>332082</v>
      </c>
      <c r="V244">
        <v>409721</v>
      </c>
      <c r="W244">
        <v>714201</v>
      </c>
      <c r="X244">
        <v>58000</v>
      </c>
      <c r="Y244">
        <v>402196</v>
      </c>
      <c r="Z244">
        <v>9606334</v>
      </c>
      <c r="AA244">
        <v>691756</v>
      </c>
      <c r="AB244">
        <v>0</v>
      </c>
      <c r="AC244">
        <v>10000000</v>
      </c>
      <c r="AD244">
        <v>0</v>
      </c>
      <c r="AF244">
        <v>4905384</v>
      </c>
      <c r="AG244">
        <v>0</v>
      </c>
      <c r="AH244">
        <v>20769</v>
      </c>
      <c r="AI244">
        <v>2338920</v>
      </c>
      <c r="AJ244">
        <v>236314</v>
      </c>
      <c r="AK244">
        <v>0</v>
      </c>
      <c r="AL244">
        <v>8813514</v>
      </c>
      <c r="AM244">
        <v>47964</v>
      </c>
      <c r="AN244">
        <v>420717</v>
      </c>
      <c r="AO244">
        <v>0</v>
      </c>
      <c r="AP244">
        <v>1484811</v>
      </c>
      <c r="AQ244">
        <v>479958</v>
      </c>
      <c r="AR244">
        <v>0</v>
      </c>
      <c r="AS244">
        <v>370645</v>
      </c>
      <c r="AT244">
        <v>0</v>
      </c>
      <c r="AU244">
        <v>59430051</v>
      </c>
      <c r="AV244">
        <v>1095919</v>
      </c>
      <c r="AW244">
        <v>137771</v>
      </c>
      <c r="AX244">
        <v>140864</v>
      </c>
      <c r="AY244">
        <v>220193</v>
      </c>
      <c r="BA244">
        <v>102971</v>
      </c>
      <c r="BB244">
        <v>928314</v>
      </c>
      <c r="BC244">
        <v>94812</v>
      </c>
      <c r="BD244">
        <v>0</v>
      </c>
      <c r="BE244">
        <v>0</v>
      </c>
      <c r="BF244">
        <v>699781</v>
      </c>
      <c r="BG244">
        <v>24221</v>
      </c>
      <c r="BH244">
        <v>902054</v>
      </c>
      <c r="BI244">
        <v>70633</v>
      </c>
      <c r="BJ244">
        <v>54279</v>
      </c>
      <c r="BK244">
        <v>0</v>
      </c>
      <c r="BL244">
        <v>2134883</v>
      </c>
      <c r="BM244">
        <v>5282816</v>
      </c>
      <c r="BN244">
        <v>0</v>
      </c>
      <c r="BO244">
        <v>8237002</v>
      </c>
      <c r="BP244">
        <v>13943098</v>
      </c>
      <c r="BQ244">
        <v>211877</v>
      </c>
      <c r="BR244">
        <v>312801</v>
      </c>
      <c r="BS244" s="180">
        <v>290087</v>
      </c>
      <c r="BT244" s="180">
        <v>176200</v>
      </c>
      <c r="BU244" s="180">
        <v>0</v>
      </c>
      <c r="BV244" s="180">
        <v>73772</v>
      </c>
      <c r="BW244" s="180">
        <v>211616</v>
      </c>
      <c r="BX244" s="180">
        <v>0</v>
      </c>
      <c r="BY244" s="180">
        <v>18095293</v>
      </c>
      <c r="BZ244" s="180">
        <v>61827</v>
      </c>
      <c r="CA244" s="180">
        <v>956180</v>
      </c>
      <c r="CB244" s="180">
        <v>91944</v>
      </c>
      <c r="CC244" s="180">
        <v>687751</v>
      </c>
      <c r="CD244" s="180">
        <v>0</v>
      </c>
      <c r="CE244" s="180"/>
      <c r="CF244" s="180"/>
      <c r="CG244" s="180"/>
      <c r="CH244" s="180"/>
      <c r="CI244" s="180"/>
      <c r="CJ244" s="180"/>
      <c r="CK244" s="180"/>
      <c r="CL244" s="180"/>
      <c r="CM244" s="180"/>
      <c r="CN244" s="180"/>
      <c r="CO244" s="180"/>
      <c r="CP244" s="180"/>
      <c r="CQ244" s="180"/>
      <c r="CR244" s="180"/>
      <c r="CS244" s="180"/>
      <c r="CT244" s="180"/>
      <c r="CU244" s="180"/>
    </row>
    <row r="245" spans="1:99" s="553" customFormat="1" x14ac:dyDescent="0.3">
      <c r="A245">
        <v>1061</v>
      </c>
      <c r="B245" t="s">
        <v>1646</v>
      </c>
      <c r="C245"/>
      <c r="D245"/>
      <c r="E245">
        <v>509512</v>
      </c>
      <c r="F245">
        <v>0</v>
      </c>
      <c r="G245">
        <v>0</v>
      </c>
      <c r="H245">
        <v>0</v>
      </c>
      <c r="I245">
        <v>0</v>
      </c>
      <c r="J245">
        <v>0</v>
      </c>
      <c r="K245">
        <v>0</v>
      </c>
      <c r="L245">
        <v>0</v>
      </c>
      <c r="M245">
        <v>23343306</v>
      </c>
      <c r="N245">
        <v>263044</v>
      </c>
      <c r="O245">
        <v>0</v>
      </c>
      <c r="P245">
        <v>0</v>
      </c>
      <c r="Q245">
        <v>0</v>
      </c>
      <c r="R245">
        <v>56317</v>
      </c>
      <c r="S245">
        <v>0</v>
      </c>
      <c r="T245">
        <v>0</v>
      </c>
      <c r="U245">
        <v>0</v>
      </c>
      <c r="V245">
        <v>827661</v>
      </c>
      <c r="W245">
        <v>0</v>
      </c>
      <c r="X245">
        <v>0</v>
      </c>
      <c r="Y245">
        <v>0</v>
      </c>
      <c r="Z245">
        <v>0</v>
      </c>
      <c r="AA245">
        <v>519418</v>
      </c>
      <c r="AB245">
        <v>0</v>
      </c>
      <c r="AC245">
        <v>0</v>
      </c>
      <c r="AD245">
        <v>0</v>
      </c>
      <c r="AE245"/>
      <c r="AF245">
        <v>0</v>
      </c>
      <c r="AG245">
        <v>0</v>
      </c>
      <c r="AH245">
        <v>138580</v>
      </c>
      <c r="AI245">
        <v>0</v>
      </c>
      <c r="AJ245">
        <v>0</v>
      </c>
      <c r="AK245">
        <v>45574</v>
      </c>
      <c r="AL245">
        <v>0</v>
      </c>
      <c r="AM245">
        <v>0</v>
      </c>
      <c r="AN245">
        <v>4565583</v>
      </c>
      <c r="AO245">
        <v>0</v>
      </c>
      <c r="AP245">
        <v>0</v>
      </c>
      <c r="AQ245">
        <v>479958</v>
      </c>
      <c r="AR245">
        <v>0</v>
      </c>
      <c r="AS245">
        <v>0</v>
      </c>
      <c r="AT245">
        <v>206197</v>
      </c>
      <c r="AU245">
        <v>0</v>
      </c>
      <c r="AV245">
        <v>0</v>
      </c>
      <c r="AW245">
        <v>0</v>
      </c>
      <c r="AX245">
        <v>0</v>
      </c>
      <c r="AY245">
        <v>0</v>
      </c>
      <c r="AZ245"/>
      <c r="BA245">
        <v>14947</v>
      </c>
      <c r="BB245">
        <v>1088403</v>
      </c>
      <c r="BC245">
        <v>0</v>
      </c>
      <c r="BD245">
        <v>61283</v>
      </c>
      <c r="BE245">
        <v>0</v>
      </c>
      <c r="BF245">
        <v>654219</v>
      </c>
      <c r="BG245">
        <v>0</v>
      </c>
      <c r="BH245">
        <v>0</v>
      </c>
      <c r="BI245">
        <v>0</v>
      </c>
      <c r="BJ245">
        <v>83518</v>
      </c>
      <c r="BK245">
        <v>0</v>
      </c>
      <c r="BL245">
        <v>0</v>
      </c>
      <c r="BM245">
        <v>0</v>
      </c>
      <c r="BN245">
        <v>0</v>
      </c>
      <c r="BO245">
        <v>0</v>
      </c>
      <c r="BP245">
        <v>0</v>
      </c>
      <c r="BQ245">
        <v>0</v>
      </c>
      <c r="BR245">
        <v>0</v>
      </c>
      <c r="BS245" s="553">
        <v>0</v>
      </c>
      <c r="BT245" s="553">
        <v>2071265</v>
      </c>
      <c r="BU245" s="553">
        <v>0</v>
      </c>
      <c r="BV245" s="553">
        <v>108522</v>
      </c>
      <c r="BW245" s="553">
        <v>0</v>
      </c>
      <c r="BX245" s="553">
        <v>900958</v>
      </c>
      <c r="BY245" s="553">
        <v>0</v>
      </c>
      <c r="BZ245" s="553">
        <v>0</v>
      </c>
      <c r="CA245" s="553">
        <v>0</v>
      </c>
      <c r="CB245" s="553">
        <v>0</v>
      </c>
      <c r="CC245" s="553">
        <v>494298</v>
      </c>
      <c r="CD245" s="553">
        <v>0</v>
      </c>
    </row>
    <row r="246" spans="1:99" s="553" customFormat="1" x14ac:dyDescent="0.3">
      <c r="A246">
        <v>1062</v>
      </c>
      <c r="B246" t="s">
        <v>1647</v>
      </c>
      <c r="C246"/>
      <c r="D246"/>
      <c r="E246">
        <v>1</v>
      </c>
      <c r="F246">
        <v>1</v>
      </c>
      <c r="G246">
        <v>1</v>
      </c>
      <c r="H246">
        <v>1</v>
      </c>
      <c r="I246">
        <v>1</v>
      </c>
      <c r="J246">
        <v>3</v>
      </c>
      <c r="K246">
        <v>1</v>
      </c>
      <c r="L246">
        <v>1</v>
      </c>
      <c r="M246">
        <v>1</v>
      </c>
      <c r="N246">
        <v>1</v>
      </c>
      <c r="O246">
        <v>1</v>
      </c>
      <c r="P246">
        <v>1</v>
      </c>
      <c r="Q246">
        <v>1</v>
      </c>
      <c r="R246">
        <v>1</v>
      </c>
      <c r="S246">
        <v>1</v>
      </c>
      <c r="T246">
        <v>1</v>
      </c>
      <c r="U246">
        <v>1</v>
      </c>
      <c r="V246">
        <v>1</v>
      </c>
      <c r="W246">
        <v>1</v>
      </c>
      <c r="X246">
        <v>1</v>
      </c>
      <c r="Y246">
        <v>1</v>
      </c>
      <c r="Z246">
        <v>1</v>
      </c>
      <c r="AA246">
        <v>1</v>
      </c>
      <c r="AB246">
        <v>1</v>
      </c>
      <c r="AC246">
        <v>1</v>
      </c>
      <c r="AD246">
        <v>0</v>
      </c>
      <c r="AE246"/>
      <c r="AF246">
        <v>1</v>
      </c>
      <c r="AG246">
        <v>0</v>
      </c>
      <c r="AH246">
        <v>1</v>
      </c>
      <c r="AI246">
        <v>1</v>
      </c>
      <c r="AJ246">
        <v>1</v>
      </c>
      <c r="AK246">
        <v>1</v>
      </c>
      <c r="AL246">
        <v>1</v>
      </c>
      <c r="AM246">
        <v>1</v>
      </c>
      <c r="AN246">
        <v>1</v>
      </c>
      <c r="AO246">
        <v>1</v>
      </c>
      <c r="AP246">
        <v>1</v>
      </c>
      <c r="AQ246">
        <v>1</v>
      </c>
      <c r="AR246">
        <v>1</v>
      </c>
      <c r="AS246">
        <v>1</v>
      </c>
      <c r="AT246">
        <v>1</v>
      </c>
      <c r="AU246">
        <v>1</v>
      </c>
      <c r="AV246">
        <v>1</v>
      </c>
      <c r="AW246">
        <v>1</v>
      </c>
      <c r="AX246">
        <v>1</v>
      </c>
      <c r="AY246">
        <v>1</v>
      </c>
      <c r="AZ246"/>
      <c r="BA246">
        <v>1</v>
      </c>
      <c r="BB246">
        <v>1</v>
      </c>
      <c r="BC246">
        <v>1</v>
      </c>
      <c r="BD246">
        <v>1</v>
      </c>
      <c r="BE246">
        <v>0</v>
      </c>
      <c r="BF246">
        <v>1</v>
      </c>
      <c r="BG246">
        <v>1</v>
      </c>
      <c r="BH246">
        <v>1</v>
      </c>
      <c r="BI246">
        <v>1</v>
      </c>
      <c r="BJ246">
        <v>1</v>
      </c>
      <c r="BK246">
        <v>0</v>
      </c>
      <c r="BL246">
        <v>1</v>
      </c>
      <c r="BM246">
        <v>1</v>
      </c>
      <c r="BN246">
        <v>1</v>
      </c>
      <c r="BO246">
        <v>1</v>
      </c>
      <c r="BP246">
        <v>1</v>
      </c>
      <c r="BQ246">
        <v>1</v>
      </c>
      <c r="BR246">
        <v>1</v>
      </c>
      <c r="BS246" s="553">
        <v>1</v>
      </c>
      <c r="BT246" s="553">
        <v>1</v>
      </c>
      <c r="BU246" s="553">
        <v>1</v>
      </c>
      <c r="BV246" s="553">
        <v>1</v>
      </c>
      <c r="BW246" s="553">
        <v>1</v>
      </c>
      <c r="BX246" s="553">
        <v>1</v>
      </c>
      <c r="BY246" s="553">
        <v>0</v>
      </c>
      <c r="BZ246" s="553">
        <v>1</v>
      </c>
      <c r="CA246" s="553">
        <v>1</v>
      </c>
      <c r="CB246" s="553">
        <v>1</v>
      </c>
      <c r="CC246" s="553">
        <v>1</v>
      </c>
      <c r="CD246" s="553">
        <v>1</v>
      </c>
    </row>
    <row r="247" spans="1:99" s="553" customFormat="1" x14ac:dyDescent="0.3">
      <c r="A247">
        <v>1063</v>
      </c>
      <c r="B247" t="s">
        <v>1648</v>
      </c>
      <c r="C247"/>
      <c r="D247"/>
      <c r="E247">
        <v>1</v>
      </c>
      <c r="F247">
        <v>1</v>
      </c>
      <c r="G247">
        <v>1</v>
      </c>
      <c r="H247">
        <v>1</v>
      </c>
      <c r="I247">
        <v>1</v>
      </c>
      <c r="J247">
        <v>3</v>
      </c>
      <c r="K247">
        <v>1</v>
      </c>
      <c r="L247">
        <v>1</v>
      </c>
      <c r="M247">
        <v>1</v>
      </c>
      <c r="N247">
        <v>1</v>
      </c>
      <c r="O247">
        <v>1</v>
      </c>
      <c r="P247">
        <v>1</v>
      </c>
      <c r="Q247">
        <v>1</v>
      </c>
      <c r="R247">
        <v>1</v>
      </c>
      <c r="S247">
        <v>1</v>
      </c>
      <c r="T247">
        <v>1</v>
      </c>
      <c r="U247">
        <v>1</v>
      </c>
      <c r="V247">
        <v>1</v>
      </c>
      <c r="W247">
        <v>1</v>
      </c>
      <c r="X247">
        <v>1</v>
      </c>
      <c r="Y247">
        <v>1</v>
      </c>
      <c r="Z247">
        <v>1</v>
      </c>
      <c r="AA247">
        <v>1</v>
      </c>
      <c r="AB247">
        <v>1</v>
      </c>
      <c r="AC247">
        <v>1</v>
      </c>
      <c r="AD247">
        <v>0</v>
      </c>
      <c r="AE247"/>
      <c r="AF247">
        <v>1</v>
      </c>
      <c r="AG247">
        <v>0</v>
      </c>
      <c r="AH247">
        <v>1</v>
      </c>
      <c r="AI247">
        <v>1</v>
      </c>
      <c r="AJ247">
        <v>1</v>
      </c>
      <c r="AK247">
        <v>1</v>
      </c>
      <c r="AL247">
        <v>1</v>
      </c>
      <c r="AM247">
        <v>1</v>
      </c>
      <c r="AN247">
        <v>1</v>
      </c>
      <c r="AO247">
        <v>1</v>
      </c>
      <c r="AP247">
        <v>1</v>
      </c>
      <c r="AQ247">
        <v>1</v>
      </c>
      <c r="AR247">
        <v>1</v>
      </c>
      <c r="AS247">
        <v>1</v>
      </c>
      <c r="AT247">
        <v>1</v>
      </c>
      <c r="AU247">
        <v>1</v>
      </c>
      <c r="AV247">
        <v>1</v>
      </c>
      <c r="AW247">
        <v>1</v>
      </c>
      <c r="AX247">
        <v>1</v>
      </c>
      <c r="AY247">
        <v>1</v>
      </c>
      <c r="AZ247"/>
      <c r="BA247">
        <v>1</v>
      </c>
      <c r="BB247">
        <v>1</v>
      </c>
      <c r="BC247">
        <v>1</v>
      </c>
      <c r="BD247">
        <v>1</v>
      </c>
      <c r="BE247">
        <v>0</v>
      </c>
      <c r="BF247">
        <v>1</v>
      </c>
      <c r="BG247">
        <v>1</v>
      </c>
      <c r="BH247">
        <v>1</v>
      </c>
      <c r="BI247">
        <v>1</v>
      </c>
      <c r="BJ247">
        <v>1</v>
      </c>
      <c r="BK247">
        <v>0</v>
      </c>
      <c r="BL247">
        <v>1</v>
      </c>
      <c r="BM247">
        <v>1</v>
      </c>
      <c r="BN247">
        <v>1</v>
      </c>
      <c r="BO247">
        <v>1</v>
      </c>
      <c r="BP247">
        <v>1</v>
      </c>
      <c r="BQ247">
        <v>1</v>
      </c>
      <c r="BR247">
        <v>1</v>
      </c>
      <c r="BS247" s="553">
        <v>1</v>
      </c>
      <c r="BT247" s="553">
        <v>1</v>
      </c>
      <c r="BU247" s="553">
        <v>1</v>
      </c>
      <c r="BV247" s="553">
        <v>1</v>
      </c>
      <c r="BW247" s="553">
        <v>1</v>
      </c>
      <c r="BX247" s="553">
        <v>1</v>
      </c>
      <c r="BY247" s="553">
        <v>0</v>
      </c>
      <c r="BZ247" s="553">
        <v>1</v>
      </c>
      <c r="CA247" s="553">
        <v>1</v>
      </c>
      <c r="CB247" s="553">
        <v>1</v>
      </c>
      <c r="CC247" s="553">
        <v>1</v>
      </c>
      <c r="CD247" s="553">
        <v>1</v>
      </c>
    </row>
    <row r="248" spans="1:99" s="553" customFormat="1" x14ac:dyDescent="0.3">
      <c r="A248">
        <v>1066</v>
      </c>
      <c r="B248" t="s">
        <v>1651</v>
      </c>
      <c r="C248"/>
      <c r="D248"/>
      <c r="E248" t="s">
        <v>2695</v>
      </c>
      <c r="F248" t="s">
        <v>2030</v>
      </c>
      <c r="G248" t="s">
        <v>2696</v>
      </c>
      <c r="H248" t="s">
        <v>2045</v>
      </c>
      <c r="I248" t="s">
        <v>2044</v>
      </c>
      <c r="J248" t="s">
        <v>2697</v>
      </c>
      <c r="K248" t="s">
        <v>2039</v>
      </c>
      <c r="L248" t="s">
        <v>2698</v>
      </c>
      <c r="M248" t="s">
        <v>2699</v>
      </c>
      <c r="N248" t="s">
        <v>2700</v>
      </c>
      <c r="O248" t="s">
        <v>2701</v>
      </c>
      <c r="P248" t="s">
        <v>2702</v>
      </c>
      <c r="Q248" t="s">
        <v>2035</v>
      </c>
      <c r="R248" t="s">
        <v>2032</v>
      </c>
      <c r="S248" t="s">
        <v>2703</v>
      </c>
      <c r="T248" t="s">
        <v>2704</v>
      </c>
      <c r="U248" t="s">
        <v>2705</v>
      </c>
      <c r="V248" t="s">
        <v>2041</v>
      </c>
      <c r="W248" t="s">
        <v>2038</v>
      </c>
      <c r="X248" t="s">
        <v>2029</v>
      </c>
      <c r="Y248" t="s">
        <v>2706</v>
      </c>
      <c r="Z248" t="s">
        <v>2033</v>
      </c>
      <c r="AA248" t="s">
        <v>2036</v>
      </c>
      <c r="AB248" t="s">
        <v>2703</v>
      </c>
      <c r="AC248" t="s">
        <v>2043</v>
      </c>
      <c r="AD248" t="s">
        <v>2036</v>
      </c>
      <c r="AE248"/>
      <c r="AF248" t="s">
        <v>2707</v>
      </c>
      <c r="AG248" t="s">
        <v>2708</v>
      </c>
      <c r="AH248" t="s">
        <v>2709</v>
      </c>
      <c r="AI248" t="s">
        <v>2710</v>
      </c>
      <c r="AJ248" t="s">
        <v>2711</v>
      </c>
      <c r="AK248" t="s">
        <v>2712</v>
      </c>
      <c r="AL248" t="s">
        <v>2713</v>
      </c>
      <c r="AM248" t="s">
        <v>2714</v>
      </c>
      <c r="AN248" t="s">
        <v>2032</v>
      </c>
      <c r="AO248" t="s">
        <v>2715</v>
      </c>
      <c r="AP248" t="s">
        <v>2696</v>
      </c>
      <c r="AQ248" t="s">
        <v>2716</v>
      </c>
      <c r="AR248" t="s">
        <v>2032</v>
      </c>
      <c r="AS248" t="s">
        <v>1984</v>
      </c>
      <c r="AT248" t="s">
        <v>2028</v>
      </c>
      <c r="AU248" t="s">
        <v>2028</v>
      </c>
      <c r="AV248" t="s">
        <v>2717</v>
      </c>
      <c r="AW248" t="s">
        <v>2549</v>
      </c>
      <c r="AX248" t="s">
        <v>2718</v>
      </c>
      <c r="AY248" t="s">
        <v>2719</v>
      </c>
      <c r="AZ248" t="s">
        <v>2042</v>
      </c>
      <c r="BA248" t="s">
        <v>2720</v>
      </c>
      <c r="BB248" t="s">
        <v>2029</v>
      </c>
      <c r="BC248" t="s">
        <v>2716</v>
      </c>
      <c r="BD248" t="s">
        <v>2032</v>
      </c>
      <c r="BE248" t="s">
        <v>2721</v>
      </c>
      <c r="BF248" t="s">
        <v>2722</v>
      </c>
      <c r="BG248" t="s">
        <v>2723</v>
      </c>
      <c r="BH248" t="s">
        <v>2724</v>
      </c>
      <c r="BI248" t="s">
        <v>2712</v>
      </c>
      <c r="BJ248" t="s">
        <v>2725</v>
      </c>
      <c r="BK248" t="s">
        <v>2726</v>
      </c>
      <c r="BL248" t="s">
        <v>2039</v>
      </c>
      <c r="BM248" t="s">
        <v>2705</v>
      </c>
      <c r="BN248" t="s">
        <v>2028</v>
      </c>
      <c r="BO248" t="s">
        <v>2031</v>
      </c>
      <c r="BP248" t="s">
        <v>2727</v>
      </c>
      <c r="BQ248" t="s">
        <v>2549</v>
      </c>
      <c r="BR248" t="s">
        <v>2032</v>
      </c>
      <c r="BS248" s="553" t="s">
        <v>2728</v>
      </c>
      <c r="BT248" s="553" t="s">
        <v>2032</v>
      </c>
      <c r="BU248" s="553" t="s">
        <v>2717</v>
      </c>
      <c r="BV248" s="553" t="s">
        <v>2034</v>
      </c>
      <c r="BW248" s="553" t="s">
        <v>2701</v>
      </c>
      <c r="BX248" s="553" t="s">
        <v>2729</v>
      </c>
      <c r="BY248" s="553" t="s">
        <v>2705</v>
      </c>
      <c r="BZ248" s="553" t="s">
        <v>2730</v>
      </c>
      <c r="CA248" s="553" t="s">
        <v>2029</v>
      </c>
      <c r="CB248" s="553" t="s">
        <v>2037</v>
      </c>
      <c r="CC248" s="553" t="s">
        <v>2028</v>
      </c>
      <c r="CD248" s="553" t="s">
        <v>2040</v>
      </c>
    </row>
    <row r="249" spans="1:99" s="553" customFormat="1" x14ac:dyDescent="0.3">
      <c r="A249">
        <v>1067</v>
      </c>
      <c r="B249" t="s">
        <v>2046</v>
      </c>
      <c r="C249"/>
      <c r="D249"/>
      <c r="E249">
        <v>1</v>
      </c>
      <c r="F249">
        <v>1</v>
      </c>
      <c r="G249">
        <v>1</v>
      </c>
      <c r="H249">
        <v>1</v>
      </c>
      <c r="I249">
        <v>1</v>
      </c>
      <c r="J249">
        <v>1</v>
      </c>
      <c r="K249">
        <v>1</v>
      </c>
      <c r="L249">
        <v>1</v>
      </c>
      <c r="M249">
        <v>1</v>
      </c>
      <c r="N249">
        <v>1</v>
      </c>
      <c r="O249">
        <v>1</v>
      </c>
      <c r="P249">
        <v>1</v>
      </c>
      <c r="Q249">
        <v>1</v>
      </c>
      <c r="R249">
        <v>1</v>
      </c>
      <c r="S249">
        <v>1</v>
      </c>
      <c r="T249">
        <v>1</v>
      </c>
      <c r="U249">
        <v>1</v>
      </c>
      <c r="V249">
        <v>1</v>
      </c>
      <c r="W249">
        <v>1</v>
      </c>
      <c r="X249">
        <v>1</v>
      </c>
      <c r="Y249">
        <v>1</v>
      </c>
      <c r="Z249">
        <v>1</v>
      </c>
      <c r="AA249">
        <v>1</v>
      </c>
      <c r="AB249">
        <v>1</v>
      </c>
      <c r="AC249">
        <v>1</v>
      </c>
      <c r="AD249">
        <v>1</v>
      </c>
      <c r="AE249"/>
      <c r="AF249">
        <v>1</v>
      </c>
      <c r="AG249">
        <v>1</v>
      </c>
      <c r="AH249">
        <v>1</v>
      </c>
      <c r="AI249">
        <v>1</v>
      </c>
      <c r="AJ249">
        <v>1</v>
      </c>
      <c r="AK249">
        <v>1</v>
      </c>
      <c r="AL249">
        <v>1</v>
      </c>
      <c r="AM249">
        <v>1</v>
      </c>
      <c r="AN249">
        <v>1</v>
      </c>
      <c r="AO249">
        <v>1</v>
      </c>
      <c r="AP249">
        <v>1</v>
      </c>
      <c r="AQ249">
        <v>1</v>
      </c>
      <c r="AR249">
        <v>1</v>
      </c>
      <c r="AS249">
        <v>1</v>
      </c>
      <c r="AT249">
        <v>1</v>
      </c>
      <c r="AU249">
        <v>1</v>
      </c>
      <c r="AV249">
        <v>1</v>
      </c>
      <c r="AW249">
        <v>1</v>
      </c>
      <c r="AX249">
        <v>1</v>
      </c>
      <c r="AY249">
        <v>1</v>
      </c>
      <c r="AZ249"/>
      <c r="BA249">
        <v>2</v>
      </c>
      <c r="BB249">
        <v>1</v>
      </c>
      <c r="BC249">
        <v>1</v>
      </c>
      <c r="BD249">
        <v>1</v>
      </c>
      <c r="BE249">
        <v>1</v>
      </c>
      <c r="BF249">
        <v>1</v>
      </c>
      <c r="BG249">
        <v>1</v>
      </c>
      <c r="BH249">
        <v>1</v>
      </c>
      <c r="BI249">
        <v>1</v>
      </c>
      <c r="BJ249">
        <v>1</v>
      </c>
      <c r="BK249">
        <v>1</v>
      </c>
      <c r="BL249">
        <v>1</v>
      </c>
      <c r="BM249">
        <v>1</v>
      </c>
      <c r="BN249">
        <v>1</v>
      </c>
      <c r="BO249">
        <v>1</v>
      </c>
      <c r="BP249">
        <v>1</v>
      </c>
      <c r="BQ249">
        <v>1</v>
      </c>
      <c r="BR249">
        <v>1</v>
      </c>
      <c r="BS249" s="553">
        <v>1</v>
      </c>
      <c r="BT249" s="553">
        <v>1</v>
      </c>
      <c r="BU249" s="553">
        <v>1</v>
      </c>
      <c r="BV249" s="553">
        <v>1</v>
      </c>
      <c r="BW249" s="553">
        <v>1</v>
      </c>
      <c r="BX249" s="553">
        <v>1</v>
      </c>
      <c r="BY249" s="553">
        <v>1</v>
      </c>
      <c r="BZ249" s="553">
        <v>2</v>
      </c>
      <c r="CA249" s="553">
        <v>1</v>
      </c>
      <c r="CB249" s="553">
        <v>1</v>
      </c>
      <c r="CC249" s="553">
        <v>1</v>
      </c>
      <c r="CD249" s="553">
        <v>1</v>
      </c>
    </row>
    <row r="250" spans="1:99" s="558" customFormat="1" x14ac:dyDescent="0.3">
      <c r="A250">
        <v>1068</v>
      </c>
      <c r="B250" t="s">
        <v>2047</v>
      </c>
      <c r="C250"/>
      <c r="D250"/>
      <c r="E250">
        <v>2</v>
      </c>
      <c r="F250">
        <v>2</v>
      </c>
      <c r="G250">
        <v>2</v>
      </c>
      <c r="H250">
        <v>2</v>
      </c>
      <c r="I250">
        <v>2</v>
      </c>
      <c r="J250">
        <v>2</v>
      </c>
      <c r="K250">
        <v>2</v>
      </c>
      <c r="L250">
        <v>2</v>
      </c>
      <c r="M250">
        <v>1</v>
      </c>
      <c r="N250">
        <v>2</v>
      </c>
      <c r="O250">
        <v>2</v>
      </c>
      <c r="P250">
        <v>2</v>
      </c>
      <c r="Q250">
        <v>2</v>
      </c>
      <c r="R250">
        <v>2</v>
      </c>
      <c r="S250">
        <v>2</v>
      </c>
      <c r="T250">
        <v>2</v>
      </c>
      <c r="U250">
        <v>2</v>
      </c>
      <c r="V250">
        <v>2</v>
      </c>
      <c r="W250">
        <v>2</v>
      </c>
      <c r="X250">
        <v>2</v>
      </c>
      <c r="Y250">
        <v>2</v>
      </c>
      <c r="Z250">
        <v>2</v>
      </c>
      <c r="AA250">
        <v>2</v>
      </c>
      <c r="AB250">
        <v>2</v>
      </c>
      <c r="AC250">
        <v>2</v>
      </c>
      <c r="AD250">
        <v>2</v>
      </c>
      <c r="AE250"/>
      <c r="AF250">
        <v>1</v>
      </c>
      <c r="AG250">
        <v>2</v>
      </c>
      <c r="AH250">
        <v>2</v>
      </c>
      <c r="AI250">
        <v>2</v>
      </c>
      <c r="AJ250">
        <v>2</v>
      </c>
      <c r="AK250">
        <v>2</v>
      </c>
      <c r="AL250">
        <v>2</v>
      </c>
      <c r="AM250">
        <v>2</v>
      </c>
      <c r="AN250">
        <v>2</v>
      </c>
      <c r="AO250">
        <v>2</v>
      </c>
      <c r="AP250">
        <v>2</v>
      </c>
      <c r="AQ250">
        <v>2</v>
      </c>
      <c r="AR250">
        <v>2</v>
      </c>
      <c r="AS250">
        <v>2</v>
      </c>
      <c r="AT250">
        <v>2</v>
      </c>
      <c r="AU250">
        <v>1</v>
      </c>
      <c r="AV250">
        <v>2</v>
      </c>
      <c r="AW250">
        <v>2</v>
      </c>
      <c r="AX250">
        <v>2</v>
      </c>
      <c r="AY250">
        <v>2</v>
      </c>
      <c r="AZ250"/>
      <c r="BA250">
        <v>2</v>
      </c>
      <c r="BB250">
        <v>2</v>
      </c>
      <c r="BC250">
        <v>2</v>
      </c>
      <c r="BD250">
        <v>2</v>
      </c>
      <c r="BE250">
        <v>2</v>
      </c>
      <c r="BF250">
        <v>2</v>
      </c>
      <c r="BG250">
        <v>2</v>
      </c>
      <c r="BH250">
        <v>2</v>
      </c>
      <c r="BI250">
        <v>2</v>
      </c>
      <c r="BJ250">
        <v>2</v>
      </c>
      <c r="BK250">
        <v>2</v>
      </c>
      <c r="BL250">
        <v>2</v>
      </c>
      <c r="BM250">
        <v>2</v>
      </c>
      <c r="BN250">
        <v>2</v>
      </c>
      <c r="BO250">
        <v>2</v>
      </c>
      <c r="BP250">
        <v>2</v>
      </c>
      <c r="BQ250">
        <v>2</v>
      </c>
      <c r="BR250">
        <v>2</v>
      </c>
      <c r="BS250" s="558">
        <v>2</v>
      </c>
      <c r="BT250" s="558">
        <v>2</v>
      </c>
      <c r="BU250" s="558">
        <v>2</v>
      </c>
      <c r="BV250" s="558">
        <v>2</v>
      </c>
      <c r="BW250" s="558">
        <v>2</v>
      </c>
      <c r="BX250" s="558">
        <v>2</v>
      </c>
      <c r="BY250" s="558">
        <v>2</v>
      </c>
      <c r="BZ250" s="558">
        <v>2</v>
      </c>
      <c r="CA250" s="558">
        <v>2</v>
      </c>
      <c r="CB250" s="558">
        <v>2</v>
      </c>
      <c r="CC250" s="558">
        <v>2</v>
      </c>
      <c r="CD250" s="558">
        <v>2</v>
      </c>
    </row>
    <row r="251" spans="1:99" s="558" customFormat="1" x14ac:dyDescent="0.3">
      <c r="A251">
        <v>1069</v>
      </c>
      <c r="B251" t="s">
        <v>1573</v>
      </c>
      <c r="C251"/>
      <c r="D251"/>
      <c r="E251">
        <v>2</v>
      </c>
      <c r="F251">
        <v>3</v>
      </c>
      <c r="G251">
        <v>2</v>
      </c>
      <c r="H251">
        <v>3</v>
      </c>
      <c r="I251">
        <v>3</v>
      </c>
      <c r="J251">
        <v>3</v>
      </c>
      <c r="K251">
        <v>2</v>
      </c>
      <c r="L251">
        <v>3</v>
      </c>
      <c r="M251">
        <v>1</v>
      </c>
      <c r="N251">
        <v>3</v>
      </c>
      <c r="O251">
        <v>3</v>
      </c>
      <c r="P251">
        <v>3</v>
      </c>
      <c r="Q251">
        <v>3</v>
      </c>
      <c r="R251">
        <v>2</v>
      </c>
      <c r="S251">
        <v>3</v>
      </c>
      <c r="T251">
        <v>2</v>
      </c>
      <c r="U251">
        <v>2</v>
      </c>
      <c r="V251">
        <v>3</v>
      </c>
      <c r="W251">
        <v>3</v>
      </c>
      <c r="X251">
        <v>3</v>
      </c>
      <c r="Y251">
        <v>3</v>
      </c>
      <c r="Z251">
        <v>3</v>
      </c>
      <c r="AA251">
        <v>3</v>
      </c>
      <c r="AB251">
        <v>3</v>
      </c>
      <c r="AC251">
        <v>3</v>
      </c>
      <c r="AD251">
        <v>3</v>
      </c>
      <c r="AE251"/>
      <c r="AF251">
        <v>1</v>
      </c>
      <c r="AG251">
        <v>3</v>
      </c>
      <c r="AH251">
        <v>3</v>
      </c>
      <c r="AI251">
        <v>3</v>
      </c>
      <c r="AJ251">
        <v>2</v>
      </c>
      <c r="AK251">
        <v>3</v>
      </c>
      <c r="AL251">
        <v>3</v>
      </c>
      <c r="AM251">
        <v>2</v>
      </c>
      <c r="AN251">
        <v>3</v>
      </c>
      <c r="AO251">
        <v>3</v>
      </c>
      <c r="AP251">
        <v>3</v>
      </c>
      <c r="AQ251">
        <v>3</v>
      </c>
      <c r="AR251">
        <v>3</v>
      </c>
      <c r="AS251">
        <v>2</v>
      </c>
      <c r="AT251">
        <v>2</v>
      </c>
      <c r="AU251">
        <v>1</v>
      </c>
      <c r="AV251">
        <v>3</v>
      </c>
      <c r="AW251">
        <v>3</v>
      </c>
      <c r="AX251">
        <v>2</v>
      </c>
      <c r="AY251">
        <v>3</v>
      </c>
      <c r="AZ251"/>
      <c r="BA251">
        <v>3</v>
      </c>
      <c r="BB251">
        <v>2</v>
      </c>
      <c r="BC251">
        <v>3</v>
      </c>
      <c r="BD251">
        <v>3</v>
      </c>
      <c r="BE251">
        <v>2</v>
      </c>
      <c r="BF251">
        <v>3</v>
      </c>
      <c r="BG251">
        <v>3</v>
      </c>
      <c r="BH251">
        <v>3</v>
      </c>
      <c r="BI251">
        <v>3</v>
      </c>
      <c r="BJ251">
        <v>3</v>
      </c>
      <c r="BK251">
        <v>3</v>
      </c>
      <c r="BL251">
        <v>2</v>
      </c>
      <c r="BM251">
        <v>3</v>
      </c>
      <c r="BN251">
        <v>3</v>
      </c>
      <c r="BO251">
        <v>3</v>
      </c>
      <c r="BP251">
        <v>3</v>
      </c>
      <c r="BQ251">
        <v>3</v>
      </c>
      <c r="BR251">
        <v>2</v>
      </c>
      <c r="BS251" s="558">
        <v>3</v>
      </c>
      <c r="BT251" s="558">
        <v>3</v>
      </c>
      <c r="BU251" s="558">
        <v>3</v>
      </c>
      <c r="BV251" s="558">
        <v>3</v>
      </c>
      <c r="BW251" s="558">
        <v>3</v>
      </c>
      <c r="BX251" s="558">
        <v>3</v>
      </c>
      <c r="BY251" s="558">
        <v>2</v>
      </c>
      <c r="BZ251" s="558">
        <v>3</v>
      </c>
      <c r="CA251" s="558">
        <v>3</v>
      </c>
      <c r="CB251" s="558">
        <v>2</v>
      </c>
      <c r="CC251" s="558">
        <v>3</v>
      </c>
      <c r="CD251" s="558">
        <v>3</v>
      </c>
    </row>
    <row r="252" spans="1:99" s="558" customFormat="1" x14ac:dyDescent="0.3">
      <c r="A252">
        <v>1070</v>
      </c>
      <c r="B252" t="s">
        <v>2048</v>
      </c>
      <c r="C252"/>
      <c r="D252"/>
      <c r="E252">
        <v>2</v>
      </c>
      <c r="F252">
        <v>2</v>
      </c>
      <c r="G252">
        <v>2</v>
      </c>
      <c r="H252">
        <v>2</v>
      </c>
      <c r="I252">
        <v>2</v>
      </c>
      <c r="J252">
        <v>2</v>
      </c>
      <c r="K252">
        <v>2</v>
      </c>
      <c r="L252">
        <v>2</v>
      </c>
      <c r="M252">
        <v>2</v>
      </c>
      <c r="N252">
        <v>2</v>
      </c>
      <c r="O252">
        <v>2</v>
      </c>
      <c r="P252">
        <v>2</v>
      </c>
      <c r="Q252">
        <v>2</v>
      </c>
      <c r="R252">
        <v>2</v>
      </c>
      <c r="S252">
        <v>2</v>
      </c>
      <c r="T252">
        <v>2</v>
      </c>
      <c r="U252">
        <v>2</v>
      </c>
      <c r="V252">
        <v>2</v>
      </c>
      <c r="W252">
        <v>2</v>
      </c>
      <c r="X252">
        <v>2</v>
      </c>
      <c r="Y252">
        <v>2</v>
      </c>
      <c r="Z252">
        <v>2</v>
      </c>
      <c r="AA252">
        <v>2</v>
      </c>
      <c r="AB252">
        <v>2</v>
      </c>
      <c r="AC252">
        <v>2</v>
      </c>
      <c r="AD252">
        <v>2</v>
      </c>
      <c r="AE252"/>
      <c r="AF252">
        <v>2</v>
      </c>
      <c r="AG252">
        <v>2</v>
      </c>
      <c r="AH252">
        <v>2</v>
      </c>
      <c r="AI252">
        <v>2</v>
      </c>
      <c r="AJ252">
        <v>2</v>
      </c>
      <c r="AK252">
        <v>2</v>
      </c>
      <c r="AL252">
        <v>2</v>
      </c>
      <c r="AM252">
        <v>2</v>
      </c>
      <c r="AN252">
        <v>2</v>
      </c>
      <c r="AO252">
        <v>2</v>
      </c>
      <c r="AP252">
        <v>2</v>
      </c>
      <c r="AQ252">
        <v>2</v>
      </c>
      <c r="AR252">
        <v>2</v>
      </c>
      <c r="AS252">
        <v>2</v>
      </c>
      <c r="AT252">
        <v>2</v>
      </c>
      <c r="AU252">
        <v>2</v>
      </c>
      <c r="AV252">
        <v>2</v>
      </c>
      <c r="AW252">
        <v>2</v>
      </c>
      <c r="AX252">
        <v>2</v>
      </c>
      <c r="AY252">
        <v>2</v>
      </c>
      <c r="AZ252"/>
      <c r="BA252">
        <v>2</v>
      </c>
      <c r="BB252">
        <v>2</v>
      </c>
      <c r="BC252">
        <v>2</v>
      </c>
      <c r="BD252">
        <v>2</v>
      </c>
      <c r="BE252">
        <v>2</v>
      </c>
      <c r="BF252">
        <v>2</v>
      </c>
      <c r="BG252">
        <v>2</v>
      </c>
      <c r="BH252">
        <v>2</v>
      </c>
      <c r="BI252">
        <v>2</v>
      </c>
      <c r="BJ252">
        <v>2</v>
      </c>
      <c r="BK252">
        <v>2</v>
      </c>
      <c r="BL252">
        <v>2</v>
      </c>
      <c r="BM252">
        <v>2</v>
      </c>
      <c r="BN252">
        <v>2</v>
      </c>
      <c r="BO252">
        <v>2</v>
      </c>
      <c r="BP252">
        <v>2</v>
      </c>
      <c r="BQ252">
        <v>2</v>
      </c>
      <c r="BR252">
        <v>2</v>
      </c>
      <c r="BS252" s="558">
        <v>2</v>
      </c>
      <c r="BT252" s="558">
        <v>2</v>
      </c>
      <c r="BU252" s="558">
        <v>2</v>
      </c>
      <c r="BV252" s="558">
        <v>2</v>
      </c>
      <c r="BW252" s="558">
        <v>2</v>
      </c>
      <c r="BX252" s="558">
        <v>2</v>
      </c>
      <c r="BY252" s="558">
        <v>2</v>
      </c>
      <c r="BZ252" s="558">
        <v>2</v>
      </c>
      <c r="CA252" s="558">
        <v>2</v>
      </c>
      <c r="CB252" s="558">
        <v>2</v>
      </c>
      <c r="CC252" s="558">
        <v>2</v>
      </c>
      <c r="CD252" s="558">
        <v>2</v>
      </c>
    </row>
    <row r="253" spans="1:99" s="558" customFormat="1" x14ac:dyDescent="0.3">
      <c r="A253">
        <v>1071</v>
      </c>
      <c r="B253" t="s">
        <v>2049</v>
      </c>
      <c r="C253"/>
      <c r="D253"/>
      <c r="E253">
        <v>0</v>
      </c>
      <c r="F253">
        <v>114586</v>
      </c>
      <c r="G253">
        <v>0</v>
      </c>
      <c r="H253">
        <v>90063</v>
      </c>
      <c r="I253">
        <v>86098</v>
      </c>
      <c r="J253">
        <v>0</v>
      </c>
      <c r="K253">
        <v>15623</v>
      </c>
      <c r="L253">
        <v>1518275</v>
      </c>
      <c r="M253">
        <v>103983</v>
      </c>
      <c r="N253">
        <v>500964</v>
      </c>
      <c r="O253">
        <v>2667179</v>
      </c>
      <c r="P253">
        <v>2231</v>
      </c>
      <c r="Q253">
        <v>2282511</v>
      </c>
      <c r="R253">
        <v>14182</v>
      </c>
      <c r="S253">
        <v>0</v>
      </c>
      <c r="T253">
        <v>0</v>
      </c>
      <c r="U253">
        <v>166041</v>
      </c>
      <c r="V253">
        <v>4114</v>
      </c>
      <c r="W253">
        <v>714201</v>
      </c>
      <c r="X253">
        <v>58000</v>
      </c>
      <c r="Y253">
        <v>201098</v>
      </c>
      <c r="Z253">
        <v>0</v>
      </c>
      <c r="AA253">
        <v>0</v>
      </c>
      <c r="AB253">
        <v>0</v>
      </c>
      <c r="AC253">
        <v>10000000</v>
      </c>
      <c r="AD253">
        <v>146282</v>
      </c>
      <c r="AE253"/>
      <c r="AF253">
        <v>930334</v>
      </c>
      <c r="AG253">
        <v>0</v>
      </c>
      <c r="AH253">
        <v>0</v>
      </c>
      <c r="AI253">
        <v>1169460</v>
      </c>
      <c r="AJ253">
        <v>236316</v>
      </c>
      <c r="AK253">
        <v>0</v>
      </c>
      <c r="AL253">
        <v>4506701</v>
      </c>
      <c r="AM253">
        <v>47964</v>
      </c>
      <c r="AN253">
        <v>0</v>
      </c>
      <c r="AO253">
        <v>3824</v>
      </c>
      <c r="AP253">
        <v>742406</v>
      </c>
      <c r="AQ253">
        <v>479958</v>
      </c>
      <c r="AR253">
        <v>0</v>
      </c>
      <c r="AS253">
        <v>0</v>
      </c>
      <c r="AT253">
        <v>0</v>
      </c>
      <c r="AU253">
        <v>55993840</v>
      </c>
      <c r="AV253">
        <v>813419</v>
      </c>
      <c r="AW253">
        <v>12204</v>
      </c>
      <c r="AX253">
        <v>59275</v>
      </c>
      <c r="AY253">
        <v>140195</v>
      </c>
      <c r="AZ253"/>
      <c r="BA253">
        <v>102971</v>
      </c>
      <c r="BB253">
        <v>47389</v>
      </c>
      <c r="BC253">
        <v>0</v>
      </c>
      <c r="BD253">
        <v>0</v>
      </c>
      <c r="BE253">
        <v>15616</v>
      </c>
      <c r="BF253">
        <v>0</v>
      </c>
      <c r="BG253">
        <v>12110</v>
      </c>
      <c r="BH253">
        <v>0</v>
      </c>
      <c r="BI253">
        <v>70633</v>
      </c>
      <c r="BJ253">
        <v>1720</v>
      </c>
      <c r="BK253">
        <v>0</v>
      </c>
      <c r="BL253">
        <v>1000000</v>
      </c>
      <c r="BM253">
        <v>4511800</v>
      </c>
      <c r="BN253">
        <v>0</v>
      </c>
      <c r="BO253">
        <v>4118501</v>
      </c>
      <c r="BP253">
        <v>13543098</v>
      </c>
      <c r="BQ253">
        <v>211877</v>
      </c>
      <c r="BR253">
        <v>312801</v>
      </c>
      <c r="BS253" s="558">
        <v>290087</v>
      </c>
      <c r="BT253" s="558">
        <v>0</v>
      </c>
      <c r="BU253" s="558">
        <v>0</v>
      </c>
      <c r="BV253" s="558">
        <v>73772</v>
      </c>
      <c r="BW253" s="558">
        <v>211616</v>
      </c>
      <c r="BX253" s="558">
        <v>0</v>
      </c>
      <c r="BY253" s="558">
        <v>3503869</v>
      </c>
      <c r="BZ253" s="558">
        <v>61827</v>
      </c>
      <c r="CA253" s="558">
        <v>0</v>
      </c>
      <c r="CB253" s="558">
        <v>91944</v>
      </c>
      <c r="CC253" s="558">
        <v>687751</v>
      </c>
      <c r="CD253" s="558">
        <v>4809066</v>
      </c>
    </row>
    <row r="254" spans="1:99" s="551" customFormat="1" x14ac:dyDescent="0.3">
      <c r="A254">
        <v>1075</v>
      </c>
      <c r="B254" t="s">
        <v>2050</v>
      </c>
      <c r="C254"/>
      <c r="D254"/>
      <c r="E254">
        <v>0</v>
      </c>
      <c r="F254">
        <v>0</v>
      </c>
      <c r="G254">
        <v>0</v>
      </c>
      <c r="H254">
        <v>0</v>
      </c>
      <c r="I254">
        <v>0</v>
      </c>
      <c r="J254">
        <v>0</v>
      </c>
      <c r="K254">
        <v>0</v>
      </c>
      <c r="L254">
        <v>0</v>
      </c>
      <c r="M254">
        <v>0</v>
      </c>
      <c r="N254">
        <v>0</v>
      </c>
      <c r="O254">
        <v>0</v>
      </c>
      <c r="P254">
        <v>0</v>
      </c>
      <c r="Q254">
        <v>0</v>
      </c>
      <c r="R254">
        <v>0</v>
      </c>
      <c r="S254">
        <v>85000</v>
      </c>
      <c r="T254">
        <v>93500</v>
      </c>
      <c r="U254">
        <v>0</v>
      </c>
      <c r="V254">
        <v>0</v>
      </c>
      <c r="W254">
        <v>0</v>
      </c>
      <c r="X254">
        <v>0</v>
      </c>
      <c r="Y254">
        <v>0</v>
      </c>
      <c r="Z254">
        <v>0</v>
      </c>
      <c r="AA254">
        <v>0</v>
      </c>
      <c r="AB254">
        <v>0</v>
      </c>
      <c r="AC254">
        <v>0</v>
      </c>
      <c r="AD254">
        <v>0</v>
      </c>
      <c r="AE254"/>
      <c r="AF254">
        <v>0</v>
      </c>
      <c r="AG254">
        <v>0</v>
      </c>
      <c r="AH254">
        <v>0</v>
      </c>
      <c r="AI254">
        <v>2745</v>
      </c>
      <c r="AJ254">
        <v>0</v>
      </c>
      <c r="AK254">
        <v>0</v>
      </c>
      <c r="AL254">
        <v>0</v>
      </c>
      <c r="AM254">
        <v>0</v>
      </c>
      <c r="AN254">
        <v>0</v>
      </c>
      <c r="AO254">
        <v>0</v>
      </c>
      <c r="AP254">
        <v>700000</v>
      </c>
      <c r="AQ254">
        <v>0</v>
      </c>
      <c r="AR254">
        <v>0</v>
      </c>
      <c r="AS254">
        <v>0</v>
      </c>
      <c r="AT254">
        <v>0</v>
      </c>
      <c r="AU254">
        <v>0</v>
      </c>
      <c r="AV254">
        <v>0</v>
      </c>
      <c r="AW254">
        <v>0</v>
      </c>
      <c r="AX254">
        <v>0</v>
      </c>
      <c r="AY254">
        <v>0</v>
      </c>
      <c r="AZ254"/>
      <c r="BA254">
        <v>0</v>
      </c>
      <c r="BB254">
        <v>0</v>
      </c>
      <c r="BC254">
        <v>94813</v>
      </c>
      <c r="BD254">
        <v>0</v>
      </c>
      <c r="BE254">
        <v>0</v>
      </c>
      <c r="BF254">
        <v>0</v>
      </c>
      <c r="BG254">
        <v>0</v>
      </c>
      <c r="BH254">
        <v>0</v>
      </c>
      <c r="BI254">
        <v>0</v>
      </c>
      <c r="BJ254">
        <v>0</v>
      </c>
      <c r="BK254">
        <v>0</v>
      </c>
      <c r="BL254">
        <v>0</v>
      </c>
      <c r="BM254">
        <v>25000</v>
      </c>
      <c r="BN254">
        <v>0</v>
      </c>
      <c r="BO254">
        <v>0</v>
      </c>
      <c r="BP254">
        <v>0</v>
      </c>
      <c r="BQ254">
        <v>0</v>
      </c>
      <c r="BR254">
        <v>15698</v>
      </c>
      <c r="BS254" s="551">
        <v>0</v>
      </c>
      <c r="BT254" s="551">
        <v>0</v>
      </c>
      <c r="BU254" s="551">
        <v>0</v>
      </c>
      <c r="BV254" s="551">
        <v>0</v>
      </c>
      <c r="BW254" s="551">
        <v>0</v>
      </c>
      <c r="BX254" s="551">
        <v>0</v>
      </c>
      <c r="BY254" s="551">
        <v>0</v>
      </c>
      <c r="BZ254" s="551">
        <v>0</v>
      </c>
      <c r="CA254" s="551">
        <v>0</v>
      </c>
      <c r="CB254" s="551">
        <v>0</v>
      </c>
      <c r="CC254" s="551">
        <v>0</v>
      </c>
      <c r="CD254" s="551">
        <v>0</v>
      </c>
    </row>
    <row r="255" spans="1:99" s="551" customFormat="1" x14ac:dyDescent="0.3">
      <c r="A255">
        <v>1076</v>
      </c>
      <c r="B255" t="s">
        <v>2051</v>
      </c>
      <c r="C255"/>
      <c r="D255"/>
      <c r="E255">
        <v>0</v>
      </c>
      <c r="F255">
        <v>0</v>
      </c>
      <c r="G255">
        <v>0</v>
      </c>
      <c r="H255">
        <v>0</v>
      </c>
      <c r="I255">
        <v>1799</v>
      </c>
      <c r="J255">
        <v>0</v>
      </c>
      <c r="K255">
        <v>0</v>
      </c>
      <c r="L255">
        <v>84323</v>
      </c>
      <c r="M255">
        <v>0</v>
      </c>
      <c r="N255">
        <v>0</v>
      </c>
      <c r="O255">
        <v>0</v>
      </c>
      <c r="P255">
        <v>0</v>
      </c>
      <c r="Q255">
        <v>0</v>
      </c>
      <c r="R255">
        <v>0</v>
      </c>
      <c r="S255">
        <v>0</v>
      </c>
      <c r="T255">
        <v>0</v>
      </c>
      <c r="U255">
        <v>0</v>
      </c>
      <c r="V255">
        <v>0</v>
      </c>
      <c r="W255">
        <v>0</v>
      </c>
      <c r="X255">
        <v>0</v>
      </c>
      <c r="Y255">
        <v>39778</v>
      </c>
      <c r="Z255">
        <v>0</v>
      </c>
      <c r="AA255">
        <v>0</v>
      </c>
      <c r="AB255">
        <v>0</v>
      </c>
      <c r="AC255">
        <v>0</v>
      </c>
      <c r="AD255">
        <v>0</v>
      </c>
      <c r="AE255"/>
      <c r="AF255">
        <v>0</v>
      </c>
      <c r="AG255">
        <v>0</v>
      </c>
      <c r="AH255">
        <v>0</v>
      </c>
      <c r="AI255">
        <v>0</v>
      </c>
      <c r="AJ255">
        <v>0</v>
      </c>
      <c r="AK255">
        <v>1150</v>
      </c>
      <c r="AL255">
        <v>0</v>
      </c>
      <c r="AM255">
        <v>0</v>
      </c>
      <c r="AN255">
        <v>0</v>
      </c>
      <c r="AO255">
        <v>0</v>
      </c>
      <c r="AP255">
        <v>0</v>
      </c>
      <c r="AQ255">
        <v>0</v>
      </c>
      <c r="AR255">
        <v>0</v>
      </c>
      <c r="AS255">
        <v>0</v>
      </c>
      <c r="AT255">
        <v>0</v>
      </c>
      <c r="AU255">
        <v>0</v>
      </c>
      <c r="AV255">
        <v>0</v>
      </c>
      <c r="AW255">
        <v>27007</v>
      </c>
      <c r="AX255">
        <v>0</v>
      </c>
      <c r="AY255">
        <v>0</v>
      </c>
      <c r="AZ255"/>
      <c r="BA255">
        <v>0</v>
      </c>
      <c r="BB255">
        <v>0</v>
      </c>
      <c r="BC255">
        <v>0</v>
      </c>
      <c r="BD255">
        <v>0</v>
      </c>
      <c r="BE255">
        <v>0</v>
      </c>
      <c r="BF255">
        <v>0</v>
      </c>
      <c r="BG255">
        <v>0</v>
      </c>
      <c r="BH255">
        <v>0</v>
      </c>
      <c r="BI255">
        <v>0</v>
      </c>
      <c r="BJ255">
        <v>0</v>
      </c>
      <c r="BK255">
        <v>0</v>
      </c>
      <c r="BL255">
        <v>0</v>
      </c>
      <c r="BM255">
        <v>0</v>
      </c>
      <c r="BN255">
        <v>0</v>
      </c>
      <c r="BO255">
        <v>0</v>
      </c>
      <c r="BP255">
        <v>50000</v>
      </c>
      <c r="BQ255">
        <v>0</v>
      </c>
      <c r="BR255">
        <v>0</v>
      </c>
      <c r="BS255" s="551">
        <v>0</v>
      </c>
      <c r="BT255" s="551">
        <v>0</v>
      </c>
      <c r="BU255" s="551">
        <v>0</v>
      </c>
      <c r="BV255" s="551">
        <v>0</v>
      </c>
      <c r="BW255" s="551">
        <v>0</v>
      </c>
      <c r="BX255" s="551">
        <v>0</v>
      </c>
      <c r="BY255" s="551">
        <v>0</v>
      </c>
      <c r="BZ255" s="551">
        <v>0</v>
      </c>
      <c r="CA255" s="551">
        <v>0</v>
      </c>
      <c r="CB255" s="551">
        <v>0</v>
      </c>
      <c r="CC255" s="551">
        <v>0</v>
      </c>
      <c r="CD255" s="551">
        <v>0</v>
      </c>
    </row>
    <row r="256" spans="1:99" s="558" customFormat="1" x14ac:dyDescent="0.3">
      <c r="A256">
        <v>1077</v>
      </c>
      <c r="B256" t="s">
        <v>2052</v>
      </c>
      <c r="C256"/>
      <c r="D256"/>
      <c r="E256">
        <v>0</v>
      </c>
      <c r="F256">
        <v>0</v>
      </c>
      <c r="G256">
        <v>0</v>
      </c>
      <c r="H256">
        <v>0</v>
      </c>
      <c r="I256">
        <v>0</v>
      </c>
      <c r="J256">
        <v>0</v>
      </c>
      <c r="K256">
        <v>0</v>
      </c>
      <c r="L256">
        <v>0</v>
      </c>
      <c r="M256">
        <v>0</v>
      </c>
      <c r="N256">
        <v>0</v>
      </c>
      <c r="O256">
        <v>0</v>
      </c>
      <c r="P256">
        <v>0</v>
      </c>
      <c r="Q256">
        <v>0</v>
      </c>
      <c r="R256">
        <v>0</v>
      </c>
      <c r="S256">
        <v>0</v>
      </c>
      <c r="T256">
        <v>0</v>
      </c>
      <c r="U256">
        <v>0</v>
      </c>
      <c r="V256">
        <v>212025</v>
      </c>
      <c r="W256">
        <v>0</v>
      </c>
      <c r="X256">
        <v>0</v>
      </c>
      <c r="Y256">
        <v>0</v>
      </c>
      <c r="Z256">
        <v>4755842</v>
      </c>
      <c r="AA256">
        <v>0</v>
      </c>
      <c r="AB256">
        <v>0</v>
      </c>
      <c r="AC256">
        <v>0</v>
      </c>
      <c r="AD256">
        <v>0</v>
      </c>
      <c r="AE256"/>
      <c r="AF256">
        <v>3490000</v>
      </c>
      <c r="AG256">
        <v>0</v>
      </c>
      <c r="AH256">
        <v>0</v>
      </c>
      <c r="AI256">
        <v>91983</v>
      </c>
      <c r="AJ256">
        <v>0</v>
      </c>
      <c r="AK256">
        <v>0</v>
      </c>
      <c r="AL256">
        <v>530840</v>
      </c>
      <c r="AM256">
        <v>0</v>
      </c>
      <c r="AN256">
        <v>0</v>
      </c>
      <c r="AO256">
        <v>0</v>
      </c>
      <c r="AP256">
        <v>0</v>
      </c>
      <c r="AQ256">
        <v>0</v>
      </c>
      <c r="AR256">
        <v>0</v>
      </c>
      <c r="AS256">
        <v>0</v>
      </c>
      <c r="AT256">
        <v>6649</v>
      </c>
      <c r="AU256">
        <v>25759963</v>
      </c>
      <c r="AV256">
        <v>0</v>
      </c>
      <c r="AW256">
        <v>0</v>
      </c>
      <c r="AX256">
        <v>0</v>
      </c>
      <c r="AY256">
        <v>0</v>
      </c>
      <c r="AZ256"/>
      <c r="BA256">
        <v>0</v>
      </c>
      <c r="BB256">
        <v>0</v>
      </c>
      <c r="BC256">
        <v>0</v>
      </c>
      <c r="BD256">
        <v>0</v>
      </c>
      <c r="BE256">
        <v>0</v>
      </c>
      <c r="BF256">
        <v>0</v>
      </c>
      <c r="BG256">
        <v>0</v>
      </c>
      <c r="BH256">
        <v>0</v>
      </c>
      <c r="BI256">
        <v>0</v>
      </c>
      <c r="BJ256">
        <v>0</v>
      </c>
      <c r="BK256">
        <v>0</v>
      </c>
      <c r="BL256">
        <v>393371</v>
      </c>
      <c r="BM256">
        <v>124000</v>
      </c>
      <c r="BN256">
        <v>5625</v>
      </c>
      <c r="BO256">
        <v>0</v>
      </c>
      <c r="BP256">
        <v>10343350</v>
      </c>
      <c r="BQ256">
        <v>0</v>
      </c>
      <c r="BR256">
        <v>2387967</v>
      </c>
      <c r="BS256" s="558">
        <v>0</v>
      </c>
      <c r="BT256" s="558">
        <v>0</v>
      </c>
      <c r="BU256" s="558">
        <v>0</v>
      </c>
      <c r="BV256" s="558">
        <v>0</v>
      </c>
      <c r="BW256" s="558">
        <v>0</v>
      </c>
      <c r="BX256" s="558">
        <v>0</v>
      </c>
      <c r="BY256" s="558">
        <v>0</v>
      </c>
      <c r="BZ256" s="558">
        <v>0</v>
      </c>
      <c r="CA256" s="558">
        <v>0</v>
      </c>
      <c r="CB256" s="558">
        <v>7386</v>
      </c>
      <c r="CC256" s="558">
        <v>0</v>
      </c>
      <c r="CD256" s="558">
        <v>0</v>
      </c>
    </row>
    <row r="257" spans="1:82" s="558" customFormat="1" x14ac:dyDescent="0.3">
      <c r="A257">
        <v>1078</v>
      </c>
      <c r="B257" t="s">
        <v>2053</v>
      </c>
      <c r="C257"/>
      <c r="D257"/>
      <c r="E257">
        <v>3</v>
      </c>
      <c r="F257">
        <v>3</v>
      </c>
      <c r="G257">
        <v>3</v>
      </c>
      <c r="H257">
        <v>3</v>
      </c>
      <c r="I257">
        <v>3</v>
      </c>
      <c r="J257">
        <v>3</v>
      </c>
      <c r="K257">
        <v>3</v>
      </c>
      <c r="L257">
        <v>3</v>
      </c>
      <c r="M257">
        <v>3</v>
      </c>
      <c r="N257">
        <v>3</v>
      </c>
      <c r="O257">
        <v>3</v>
      </c>
      <c r="P257">
        <v>3</v>
      </c>
      <c r="Q257">
        <v>3</v>
      </c>
      <c r="R257">
        <v>3</v>
      </c>
      <c r="S257">
        <v>3</v>
      </c>
      <c r="T257">
        <v>3</v>
      </c>
      <c r="U257">
        <v>3</v>
      </c>
      <c r="V257">
        <v>3</v>
      </c>
      <c r="W257">
        <v>3</v>
      </c>
      <c r="X257">
        <v>3</v>
      </c>
      <c r="Y257">
        <v>3</v>
      </c>
      <c r="Z257">
        <v>3</v>
      </c>
      <c r="AA257">
        <v>3</v>
      </c>
      <c r="AB257">
        <v>3</v>
      </c>
      <c r="AC257">
        <v>3</v>
      </c>
      <c r="AD257">
        <v>3</v>
      </c>
      <c r="AE257"/>
      <c r="AF257">
        <v>3</v>
      </c>
      <c r="AG257">
        <v>3</v>
      </c>
      <c r="AH257">
        <v>3</v>
      </c>
      <c r="AI257">
        <v>3</v>
      </c>
      <c r="AJ257">
        <v>3</v>
      </c>
      <c r="AK257">
        <v>3</v>
      </c>
      <c r="AL257">
        <v>3</v>
      </c>
      <c r="AM257">
        <v>3</v>
      </c>
      <c r="AN257">
        <v>3</v>
      </c>
      <c r="AO257">
        <v>3</v>
      </c>
      <c r="AP257">
        <v>3</v>
      </c>
      <c r="AQ257">
        <v>3</v>
      </c>
      <c r="AR257">
        <v>3</v>
      </c>
      <c r="AS257">
        <v>3</v>
      </c>
      <c r="AT257">
        <v>3</v>
      </c>
      <c r="AU257">
        <v>3</v>
      </c>
      <c r="AV257">
        <v>3</v>
      </c>
      <c r="AW257">
        <v>3</v>
      </c>
      <c r="AX257">
        <v>3</v>
      </c>
      <c r="AY257">
        <v>3</v>
      </c>
      <c r="AZ257"/>
      <c r="BA257">
        <v>3</v>
      </c>
      <c r="BB257">
        <v>3</v>
      </c>
      <c r="BC257">
        <v>3</v>
      </c>
      <c r="BD257">
        <v>3</v>
      </c>
      <c r="BE257">
        <v>3</v>
      </c>
      <c r="BF257">
        <v>3</v>
      </c>
      <c r="BG257">
        <v>3</v>
      </c>
      <c r="BH257">
        <v>3</v>
      </c>
      <c r="BI257">
        <v>3</v>
      </c>
      <c r="BJ257">
        <v>3</v>
      </c>
      <c r="BK257">
        <v>3</v>
      </c>
      <c r="BL257">
        <v>3</v>
      </c>
      <c r="BM257">
        <v>3</v>
      </c>
      <c r="BN257">
        <v>3</v>
      </c>
      <c r="BO257">
        <v>3</v>
      </c>
      <c r="BP257">
        <v>3</v>
      </c>
      <c r="BQ257">
        <v>3</v>
      </c>
      <c r="BR257">
        <v>3</v>
      </c>
      <c r="BS257" s="558">
        <v>2</v>
      </c>
      <c r="BT257" s="558">
        <v>3</v>
      </c>
      <c r="BU257" s="558">
        <v>3</v>
      </c>
      <c r="BV257" s="558">
        <v>3</v>
      </c>
      <c r="BW257" s="558">
        <v>3</v>
      </c>
      <c r="BX257" s="558">
        <v>3</v>
      </c>
      <c r="BY257" s="558">
        <v>3</v>
      </c>
      <c r="BZ257" s="558">
        <v>3</v>
      </c>
      <c r="CA257" s="558">
        <v>3</v>
      </c>
      <c r="CB257" s="558">
        <v>3</v>
      </c>
      <c r="CC257" s="558">
        <v>3</v>
      </c>
      <c r="CD257" s="558">
        <v>3</v>
      </c>
    </row>
    <row r="258" spans="1:82" s="560" customFormat="1" x14ac:dyDescent="0.3">
      <c r="A258">
        <v>1079</v>
      </c>
      <c r="B258" t="s">
        <v>1949</v>
      </c>
      <c r="C258"/>
      <c r="D258"/>
      <c r="E258" t="s">
        <v>2621</v>
      </c>
      <c r="F258" t="s">
        <v>1998</v>
      </c>
      <c r="G258" t="s">
        <v>2622</v>
      </c>
      <c r="H258" t="s">
        <v>2623</v>
      </c>
      <c r="I258" t="s">
        <v>2002</v>
      </c>
      <c r="J258" t="s">
        <v>2731</v>
      </c>
      <c r="K258" t="s">
        <v>2016</v>
      </c>
      <c r="L258" t="s">
        <v>2625</v>
      </c>
      <c r="M258" t="s">
        <v>2626</v>
      </c>
      <c r="N258" t="s">
        <v>2732</v>
      </c>
      <c r="O258" t="s">
        <v>2639</v>
      </c>
      <c r="P258" t="s">
        <v>2009</v>
      </c>
      <c r="Q258" t="s">
        <v>2055</v>
      </c>
      <c r="R258" t="s">
        <v>2002</v>
      </c>
      <c r="S258" t="s">
        <v>2019</v>
      </c>
      <c r="T258" t="s">
        <v>2347</v>
      </c>
      <c r="U258" t="s">
        <v>2055</v>
      </c>
      <c r="V258" t="s">
        <v>2006</v>
      </c>
      <c r="W258" t="s">
        <v>1922</v>
      </c>
      <c r="X258" t="s">
        <v>2013</v>
      </c>
      <c r="Y258" t="s">
        <v>2630</v>
      </c>
      <c r="Z258" t="s">
        <v>2623</v>
      </c>
      <c r="AA258" t="s">
        <v>2631</v>
      </c>
      <c r="AB258" t="s">
        <v>2632</v>
      </c>
      <c r="AC258" t="s">
        <v>2004</v>
      </c>
      <c r="AD258" t="s">
        <v>2009</v>
      </c>
      <c r="AE258"/>
      <c r="AF258" t="s">
        <v>2733</v>
      </c>
      <c r="AG258" t="s">
        <v>2019</v>
      </c>
      <c r="AH258" t="s">
        <v>2634</v>
      </c>
      <c r="AI258" t="s">
        <v>2689</v>
      </c>
      <c r="AJ258" t="s">
        <v>2734</v>
      </c>
      <c r="AK258" t="s">
        <v>2594</v>
      </c>
      <c r="AL258" t="s">
        <v>2637</v>
      </c>
      <c r="AM258" t="s">
        <v>2735</v>
      </c>
      <c r="AN258" t="s">
        <v>2002</v>
      </c>
      <c r="AO258" t="s">
        <v>2638</v>
      </c>
      <c r="AP258" t="s">
        <v>2622</v>
      </c>
      <c r="AQ258" t="s">
        <v>2624</v>
      </c>
      <c r="AR258" t="s">
        <v>2002</v>
      </c>
      <c r="AS258" t="s">
        <v>1977</v>
      </c>
      <c r="AT258" t="s">
        <v>1997</v>
      </c>
      <c r="AU258" t="s">
        <v>1997</v>
      </c>
      <c r="AV258" t="s">
        <v>2736</v>
      </c>
      <c r="AW258" t="s">
        <v>2015</v>
      </c>
      <c r="AX258" t="s">
        <v>2737</v>
      </c>
      <c r="AY258" t="s">
        <v>2016</v>
      </c>
      <c r="AZ258"/>
      <c r="BA258" t="s">
        <v>2738</v>
      </c>
      <c r="BB258" t="s">
        <v>2013</v>
      </c>
      <c r="BC258" t="s">
        <v>2739</v>
      </c>
      <c r="BD258" t="s">
        <v>2002</v>
      </c>
      <c r="BE258" t="s">
        <v>2025</v>
      </c>
      <c r="BF258" t="s">
        <v>2740</v>
      </c>
      <c r="BG258" t="s">
        <v>2741</v>
      </c>
      <c r="BH258" t="s">
        <v>2742</v>
      </c>
      <c r="BI258" t="s">
        <v>2594</v>
      </c>
      <c r="BJ258" t="s">
        <v>1979</v>
      </c>
      <c r="BK258" t="s">
        <v>2646</v>
      </c>
      <c r="BL258" t="s">
        <v>2016</v>
      </c>
      <c r="BM258" t="s">
        <v>2648</v>
      </c>
      <c r="BN258" t="s">
        <v>1997</v>
      </c>
      <c r="BO258" t="s">
        <v>1976</v>
      </c>
      <c r="BP258" t="s">
        <v>2005</v>
      </c>
      <c r="BQ258" t="s">
        <v>2015</v>
      </c>
      <c r="BR258" t="s">
        <v>2002</v>
      </c>
      <c r="BS258" s="560" t="s">
        <v>1992</v>
      </c>
      <c r="BT258" s="560" t="s">
        <v>2002</v>
      </c>
      <c r="BU258" s="560" t="s">
        <v>2027</v>
      </c>
      <c r="BV258" s="560" t="s">
        <v>2054</v>
      </c>
      <c r="BW258" s="560" t="s">
        <v>2639</v>
      </c>
      <c r="BX258" s="560" t="s">
        <v>2026</v>
      </c>
      <c r="BY258" s="560" t="s">
        <v>2743</v>
      </c>
      <c r="BZ258" s="560" t="s">
        <v>2649</v>
      </c>
      <c r="CA258" s="560" t="s">
        <v>2013</v>
      </c>
      <c r="CB258" s="560" t="s">
        <v>2010</v>
      </c>
      <c r="CC258" s="560" t="s">
        <v>1997</v>
      </c>
      <c r="CD258" s="560" t="s">
        <v>2011</v>
      </c>
    </row>
    <row r="259" spans="1:82" s="560" customFormat="1" x14ac:dyDescent="0.3">
      <c r="A259">
        <v>9000</v>
      </c>
      <c r="B259" t="s">
        <v>951</v>
      </c>
      <c r="C259" t="s">
        <v>349</v>
      </c>
      <c r="D259">
        <v>50179.01</v>
      </c>
      <c r="E259">
        <v>104297597.75</v>
      </c>
      <c r="F259">
        <v>15598247.6</v>
      </c>
      <c r="G259">
        <v>76270845.629999995</v>
      </c>
      <c r="H259">
        <v>53078810.729999997</v>
      </c>
      <c r="I259">
        <v>10804437.23</v>
      </c>
      <c r="J259">
        <v>1620538.33</v>
      </c>
      <c r="K259">
        <v>31511700.579999998</v>
      </c>
      <c r="L259">
        <v>440845726.54000002</v>
      </c>
      <c r="M259" s="1057">
        <f>9292784863.6495-3910581813.09</f>
        <v>5382203050.5594997</v>
      </c>
      <c r="N259">
        <v>61068815.130000003</v>
      </c>
      <c r="O259">
        <v>231985299.66999999</v>
      </c>
      <c r="P259">
        <v>16551138.143999999</v>
      </c>
      <c r="Q259">
        <v>758267246.65999997</v>
      </c>
      <c r="R259">
        <v>3625828.29</v>
      </c>
      <c r="S259">
        <v>48375422.417499997</v>
      </c>
      <c r="T259">
        <v>91479461.920000002</v>
      </c>
      <c r="U259">
        <v>51577437.920000002</v>
      </c>
      <c r="V259">
        <v>352752498.25999999</v>
      </c>
      <c r="W259">
        <v>44118927.710000001</v>
      </c>
      <c r="X259">
        <v>45522998.875</v>
      </c>
      <c r="Y259">
        <v>90393574.109999999</v>
      </c>
      <c r="Z259">
        <v>2932837248.0949998</v>
      </c>
      <c r="AA259">
        <v>84968718.010000005</v>
      </c>
      <c r="AB259">
        <v>39191530.369999997</v>
      </c>
      <c r="AC259">
        <v>1351053631.0620999</v>
      </c>
      <c r="AD259">
        <v>18275995.52</v>
      </c>
      <c r="AE259">
        <v>50198</v>
      </c>
      <c r="AF259">
        <v>5679288715.9899998</v>
      </c>
      <c r="AG259">
        <v>12090441.710000001</v>
      </c>
      <c r="AH259">
        <v>13382620.800000001</v>
      </c>
      <c r="AI259">
        <v>225254632.55000001</v>
      </c>
      <c r="AJ259">
        <v>33048525.800000001</v>
      </c>
      <c r="AK259">
        <v>21619947.370000001</v>
      </c>
      <c r="AL259">
        <v>1766882459.1700001</v>
      </c>
      <c r="AM259">
        <v>55252460.899999999</v>
      </c>
      <c r="AN259">
        <v>826051619.66999996</v>
      </c>
      <c r="AO259">
        <v>1822317</v>
      </c>
      <c r="AP259">
        <v>361467764.80000001</v>
      </c>
      <c r="AQ259">
        <v>65797826.347499996</v>
      </c>
      <c r="AR259">
        <v>235558.02</v>
      </c>
      <c r="AS259">
        <v>94377164.459999993</v>
      </c>
      <c r="AT259">
        <v>36746318.549999997</v>
      </c>
      <c r="AU259">
        <v>15615887879.4394</v>
      </c>
      <c r="AV259">
        <v>7280441014.2795</v>
      </c>
      <c r="AW259">
        <v>93779412.510000005</v>
      </c>
      <c r="AX259">
        <v>24368271.870000001</v>
      </c>
      <c r="AY259">
        <v>23812613.850000001</v>
      </c>
      <c r="AZ259">
        <v>50215.01</v>
      </c>
      <c r="BA259">
        <v>37070653.469999999</v>
      </c>
      <c r="BB259">
        <v>245492071.52000001</v>
      </c>
      <c r="BC259">
        <v>31005903.98</v>
      </c>
      <c r="BD259">
        <v>4401985.63</v>
      </c>
      <c r="BE259">
        <v>9134231.1400000006</v>
      </c>
      <c r="BF259">
        <v>845296652.96000004</v>
      </c>
      <c r="BG259">
        <v>1190345.29</v>
      </c>
      <c r="BH259">
        <v>616730303.14999998</v>
      </c>
      <c r="BI259">
        <v>104289786.53</v>
      </c>
      <c r="BJ259">
        <v>10590276.975</v>
      </c>
      <c r="BK259">
        <v>5020309</v>
      </c>
      <c r="BL259">
        <v>1150909458.0320001</v>
      </c>
      <c r="BM259">
        <v>1555896701.1800001</v>
      </c>
      <c r="BN259">
        <v>167521209.58500001</v>
      </c>
      <c r="BO259">
        <v>3008801424.2600002</v>
      </c>
      <c r="BP259">
        <v>8627740063.0174999</v>
      </c>
      <c r="BQ259">
        <v>49355129.450000003</v>
      </c>
      <c r="BR259">
        <v>499628471.977</v>
      </c>
      <c r="BS259" s="560">
        <v>44194725.990000002</v>
      </c>
      <c r="BT259" s="560">
        <v>808799869.52699995</v>
      </c>
      <c r="BU259" s="560">
        <v>34008274.689999998</v>
      </c>
      <c r="BV259" s="560">
        <v>21816695.510000002</v>
      </c>
      <c r="BW259" s="560">
        <v>352500997.39999998</v>
      </c>
      <c r="BX259" s="560">
        <v>91569745.409999996</v>
      </c>
      <c r="BY259" s="560">
        <v>2819156178.2616</v>
      </c>
      <c r="BZ259" s="560">
        <v>45843850.695</v>
      </c>
      <c r="CA259" s="560">
        <v>418009654.80000001</v>
      </c>
      <c r="CB259" s="560">
        <v>30791182.350000001</v>
      </c>
      <c r="CC259" s="560">
        <v>78183698.659999996</v>
      </c>
      <c r="CD259" s="560">
        <v>2003537257.6800001</v>
      </c>
    </row>
    <row r="260" spans="1:82" s="560" customFormat="1" x14ac:dyDescent="0.3">
      <c r="A260">
        <v>9001</v>
      </c>
      <c r="B260" t="s">
        <v>952</v>
      </c>
      <c r="C260" t="s">
        <v>953</v>
      </c>
      <c r="D260">
        <v>0</v>
      </c>
      <c r="E260">
        <v>4769208</v>
      </c>
      <c r="F260">
        <v>2809872</v>
      </c>
      <c r="G260">
        <v>2189355</v>
      </c>
      <c r="H260">
        <v>2070180</v>
      </c>
      <c r="I260">
        <v>887358</v>
      </c>
      <c r="J260">
        <v>194230</v>
      </c>
      <c r="K260">
        <v>841218</v>
      </c>
      <c r="L260">
        <v>19560618</v>
      </c>
      <c r="M260">
        <v>755227114</v>
      </c>
      <c r="N260">
        <v>8245579</v>
      </c>
      <c r="O260">
        <v>32730017</v>
      </c>
      <c r="P260">
        <v>978467</v>
      </c>
      <c r="Q260">
        <v>36901394</v>
      </c>
      <c r="R260">
        <v>430098</v>
      </c>
      <c r="S260">
        <v>1244214</v>
      </c>
      <c r="T260">
        <v>5505118</v>
      </c>
      <c r="U260">
        <v>4375638</v>
      </c>
      <c r="V260">
        <v>17960949</v>
      </c>
      <c r="W260">
        <v>4528287</v>
      </c>
      <c r="X260">
        <v>2118430</v>
      </c>
      <c r="Y260">
        <v>1946645</v>
      </c>
      <c r="Z260">
        <v>325203326</v>
      </c>
      <c r="AA260">
        <v>10881897</v>
      </c>
      <c r="AB260">
        <v>1906549</v>
      </c>
      <c r="AC260">
        <v>188584211</v>
      </c>
      <c r="AD260">
        <v>3365049</v>
      </c>
      <c r="AE260">
        <v>0</v>
      </c>
      <c r="AF260">
        <v>344231998</v>
      </c>
      <c r="AG260">
        <v>1506487</v>
      </c>
      <c r="AH260">
        <v>746315</v>
      </c>
      <c r="AI260">
        <v>16221347</v>
      </c>
      <c r="AJ260">
        <v>2723495</v>
      </c>
      <c r="AK260">
        <v>858435</v>
      </c>
      <c r="AL260">
        <v>128817324</v>
      </c>
      <c r="AM260">
        <v>1550706</v>
      </c>
      <c r="AN260">
        <v>49714098</v>
      </c>
      <c r="AO260">
        <v>181220</v>
      </c>
      <c r="AP260">
        <v>14567807</v>
      </c>
      <c r="AQ260">
        <v>8216404</v>
      </c>
      <c r="AR260">
        <v>609340</v>
      </c>
      <c r="AS260">
        <v>6878456</v>
      </c>
      <c r="AT260">
        <v>1486671</v>
      </c>
      <c r="AU260">
        <v>1158540782</v>
      </c>
      <c r="AV260">
        <v>445297112</v>
      </c>
      <c r="AW260">
        <v>4871955</v>
      </c>
      <c r="AX260">
        <v>956859</v>
      </c>
      <c r="AY260">
        <v>876996</v>
      </c>
      <c r="AZ260">
        <v>0</v>
      </c>
      <c r="BA260">
        <v>1510491</v>
      </c>
      <c r="BB260">
        <v>15955653</v>
      </c>
      <c r="BC260">
        <v>2092416</v>
      </c>
      <c r="BD260">
        <v>535677</v>
      </c>
      <c r="BE260">
        <v>213492</v>
      </c>
      <c r="BF260">
        <v>89162849</v>
      </c>
      <c r="BG260">
        <v>135456</v>
      </c>
      <c r="BH260">
        <v>42421766</v>
      </c>
      <c r="BI260">
        <v>9680585</v>
      </c>
      <c r="BJ260">
        <v>1361750</v>
      </c>
      <c r="BK260">
        <v>771950</v>
      </c>
      <c r="BL260">
        <v>43716516</v>
      </c>
      <c r="BM260">
        <v>90735898</v>
      </c>
      <c r="BN260">
        <v>4739383</v>
      </c>
      <c r="BO260">
        <v>293953189</v>
      </c>
      <c r="BP260">
        <v>440841239</v>
      </c>
      <c r="BQ260">
        <v>1382637</v>
      </c>
      <c r="BR260">
        <v>44741797</v>
      </c>
      <c r="BS260" s="560">
        <v>7198061</v>
      </c>
      <c r="BT260" s="560">
        <v>45010698</v>
      </c>
      <c r="BU260" s="560">
        <v>1893653</v>
      </c>
      <c r="BV260" s="560">
        <v>1607511</v>
      </c>
      <c r="BW260" s="560">
        <v>27583534</v>
      </c>
      <c r="BX260" s="560">
        <v>9950377</v>
      </c>
      <c r="BY260" s="560">
        <v>299567961</v>
      </c>
      <c r="BZ260" s="560">
        <v>1501467</v>
      </c>
      <c r="CA260" s="560">
        <v>62237993</v>
      </c>
      <c r="CB260" s="560">
        <v>1866692</v>
      </c>
      <c r="CC260" s="560">
        <v>9866075</v>
      </c>
      <c r="CD260" s="560">
        <v>248319453</v>
      </c>
    </row>
    <row r="261" spans="1:82" s="558" customFormat="1" x14ac:dyDescent="0.3">
      <c r="A261">
        <v>9002</v>
      </c>
      <c r="B261" t="s">
        <v>954</v>
      </c>
      <c r="C261" t="s">
        <v>955</v>
      </c>
      <c r="D261">
        <v>0</v>
      </c>
      <c r="E261">
        <v>166824</v>
      </c>
      <c r="F261">
        <v>60072</v>
      </c>
      <c r="G261">
        <v>23765</v>
      </c>
      <c r="H261">
        <v>20029</v>
      </c>
      <c r="I261">
        <v>3569</v>
      </c>
      <c r="J261">
        <v>1128</v>
      </c>
      <c r="K261">
        <v>170563</v>
      </c>
      <c r="L261">
        <v>881002</v>
      </c>
      <c r="M261">
        <v>79873021</v>
      </c>
      <c r="N261">
        <v>300518</v>
      </c>
      <c r="O261">
        <v>789418</v>
      </c>
      <c r="P261">
        <v>12814</v>
      </c>
      <c r="Q261">
        <v>1272450</v>
      </c>
      <c r="R261">
        <v>58317</v>
      </c>
      <c r="S261">
        <v>160071</v>
      </c>
      <c r="T261">
        <v>1276378</v>
      </c>
      <c r="U261">
        <v>49200</v>
      </c>
      <c r="V261">
        <v>1497278</v>
      </c>
      <c r="W261">
        <v>50097</v>
      </c>
      <c r="X261">
        <v>25507</v>
      </c>
      <c r="Y261">
        <v>169378</v>
      </c>
      <c r="Z261">
        <v>7771425</v>
      </c>
      <c r="AA261">
        <v>639524</v>
      </c>
      <c r="AB261">
        <v>14615</v>
      </c>
      <c r="AC261">
        <v>7419583</v>
      </c>
      <c r="AD261">
        <v>0</v>
      </c>
      <c r="AE261">
        <v>0</v>
      </c>
      <c r="AF261">
        <v>33879546</v>
      </c>
      <c r="AG261">
        <v>31265</v>
      </c>
      <c r="AH261">
        <v>3362</v>
      </c>
      <c r="AI261">
        <v>1096224</v>
      </c>
      <c r="AJ261">
        <v>68018</v>
      </c>
      <c r="AK261">
        <v>46065</v>
      </c>
      <c r="AL261">
        <v>6896760</v>
      </c>
      <c r="AM261">
        <v>3917</v>
      </c>
      <c r="AN261">
        <v>5485707</v>
      </c>
      <c r="AO261">
        <v>9518</v>
      </c>
      <c r="AP261">
        <v>370178</v>
      </c>
      <c r="AQ261">
        <v>56246</v>
      </c>
      <c r="AR261">
        <v>52386</v>
      </c>
      <c r="AS261">
        <v>248646</v>
      </c>
      <c r="AT261">
        <v>228836</v>
      </c>
      <c r="AU261">
        <v>103873633</v>
      </c>
      <c r="AV261">
        <v>40583702</v>
      </c>
      <c r="AW261">
        <v>945035</v>
      </c>
      <c r="AX261">
        <v>42980</v>
      </c>
      <c r="AY261">
        <v>19415</v>
      </c>
      <c r="AZ261">
        <v>0</v>
      </c>
      <c r="BA261">
        <v>681</v>
      </c>
      <c r="BB261">
        <v>1480943</v>
      </c>
      <c r="BC261">
        <v>6927</v>
      </c>
      <c r="BD261">
        <v>70988</v>
      </c>
      <c r="BE261">
        <v>3414</v>
      </c>
      <c r="BF261">
        <v>7409389</v>
      </c>
      <c r="BG261">
        <v>0</v>
      </c>
      <c r="BH261">
        <v>6171595</v>
      </c>
      <c r="BI261">
        <v>1062125</v>
      </c>
      <c r="BJ261">
        <v>97657</v>
      </c>
      <c r="BK261">
        <v>50410</v>
      </c>
      <c r="BL261">
        <v>3136090</v>
      </c>
      <c r="BM261">
        <v>2525553</v>
      </c>
      <c r="BN261">
        <v>823310</v>
      </c>
      <c r="BO261">
        <v>15714393</v>
      </c>
      <c r="BP261">
        <v>32914233</v>
      </c>
      <c r="BQ261">
        <v>6551</v>
      </c>
      <c r="BR261">
        <v>1270868</v>
      </c>
      <c r="BS261" s="558">
        <v>422685</v>
      </c>
      <c r="BT261" s="558">
        <v>1398355</v>
      </c>
      <c r="BU261" s="558">
        <v>347724</v>
      </c>
      <c r="BV261" s="558">
        <v>123968</v>
      </c>
      <c r="BW261" s="558">
        <v>2303000</v>
      </c>
      <c r="BX261" s="558">
        <v>1255630</v>
      </c>
      <c r="BY261" s="558">
        <v>22830953</v>
      </c>
      <c r="BZ261" s="558">
        <v>23529</v>
      </c>
      <c r="CA261" s="558">
        <v>25152957</v>
      </c>
      <c r="CB261" s="558">
        <v>33740</v>
      </c>
      <c r="CC261" s="558">
        <v>494454</v>
      </c>
      <c r="CD261" s="558">
        <v>27445035</v>
      </c>
    </row>
    <row r="262" spans="1:82" s="180" customFormat="1" x14ac:dyDescent="0.3">
      <c r="A262">
        <v>9003</v>
      </c>
      <c r="B262" t="s">
        <v>956</v>
      </c>
      <c r="C262" t="s">
        <v>957</v>
      </c>
      <c r="D262">
        <v>0</v>
      </c>
      <c r="E262">
        <v>3360383</v>
      </c>
      <c r="F262">
        <v>500091</v>
      </c>
      <c r="G262">
        <v>409494</v>
      </c>
      <c r="H262">
        <v>246370</v>
      </c>
      <c r="I262">
        <v>11387</v>
      </c>
      <c r="J262">
        <v>1128</v>
      </c>
      <c r="K262">
        <v>170563</v>
      </c>
      <c r="L262">
        <v>10505858</v>
      </c>
      <c r="M262">
        <v>323580934</v>
      </c>
      <c r="N262">
        <v>431319</v>
      </c>
      <c r="O262">
        <v>9857230</v>
      </c>
      <c r="P262">
        <v>12814</v>
      </c>
      <c r="Q262">
        <v>17816037</v>
      </c>
      <c r="R262">
        <v>58317</v>
      </c>
      <c r="S262">
        <v>293069</v>
      </c>
      <c r="T262">
        <v>2796760</v>
      </c>
      <c r="U262">
        <v>359031</v>
      </c>
      <c r="V262">
        <v>6041952</v>
      </c>
      <c r="W262">
        <v>1445174</v>
      </c>
      <c r="X262">
        <v>366874</v>
      </c>
      <c r="Y262">
        <v>1445917</v>
      </c>
      <c r="Z262">
        <v>93728074</v>
      </c>
      <c r="AA262">
        <v>639524</v>
      </c>
      <c r="AB262">
        <v>67913</v>
      </c>
      <c r="AC262">
        <v>105607811</v>
      </c>
      <c r="AD262">
        <v>0</v>
      </c>
      <c r="AE262">
        <v>0</v>
      </c>
      <c r="AF262">
        <v>235754201</v>
      </c>
      <c r="AG262">
        <v>31265</v>
      </c>
      <c r="AH262">
        <v>150008</v>
      </c>
      <c r="AI262">
        <v>7502687</v>
      </c>
      <c r="AJ262">
        <v>372465</v>
      </c>
      <c r="AK262">
        <v>46065</v>
      </c>
      <c r="AL262">
        <v>59875377</v>
      </c>
      <c r="AM262">
        <v>22892</v>
      </c>
      <c r="AN262">
        <v>26394287</v>
      </c>
      <c r="AO262">
        <v>9518</v>
      </c>
      <c r="AP262">
        <v>2475734</v>
      </c>
      <c r="AQ262">
        <v>1307498</v>
      </c>
      <c r="AR262">
        <v>52386</v>
      </c>
      <c r="AS262">
        <v>1955995</v>
      </c>
      <c r="AT262">
        <v>408633</v>
      </c>
      <c r="AU262">
        <v>769109003</v>
      </c>
      <c r="AV262">
        <v>213417696</v>
      </c>
      <c r="AW262">
        <v>2528554</v>
      </c>
      <c r="AX262">
        <v>157366</v>
      </c>
      <c r="AY262">
        <v>78368</v>
      </c>
      <c r="AZ262">
        <v>0</v>
      </c>
      <c r="BA262">
        <v>60527</v>
      </c>
      <c r="BB262">
        <v>12283773</v>
      </c>
      <c r="BC262">
        <v>6927</v>
      </c>
      <c r="BD262">
        <v>71588</v>
      </c>
      <c r="BE262">
        <v>3414</v>
      </c>
      <c r="BF262">
        <v>28008839</v>
      </c>
      <c r="BG262">
        <v>0</v>
      </c>
      <c r="BH262">
        <v>20251679</v>
      </c>
      <c r="BI262">
        <v>8098872</v>
      </c>
      <c r="BJ262">
        <v>102784</v>
      </c>
      <c r="BK262">
        <v>50410</v>
      </c>
      <c r="BL262">
        <v>25154844</v>
      </c>
      <c r="BM262">
        <v>58235740</v>
      </c>
      <c r="BN262">
        <v>1607029</v>
      </c>
      <c r="BO262">
        <v>133809306</v>
      </c>
      <c r="BP262">
        <v>229661653</v>
      </c>
      <c r="BQ262">
        <v>9792</v>
      </c>
      <c r="BR262">
        <v>22544625</v>
      </c>
      <c r="BS262" s="180">
        <v>621190</v>
      </c>
      <c r="BT262" s="180">
        <v>10134614</v>
      </c>
      <c r="BU262" s="180">
        <v>423953</v>
      </c>
      <c r="BV262" s="180">
        <v>124556</v>
      </c>
      <c r="BW262" s="180">
        <v>10956400</v>
      </c>
      <c r="BX262" s="180">
        <v>3298240</v>
      </c>
      <c r="BY262" s="180">
        <v>118886981</v>
      </c>
      <c r="BZ262" s="180">
        <v>80757</v>
      </c>
      <c r="CA262" s="180">
        <v>46993771</v>
      </c>
      <c r="CB262" s="180">
        <v>203442</v>
      </c>
      <c r="CC262" s="180">
        <v>2657411</v>
      </c>
      <c r="CD262" s="180">
        <v>84378183</v>
      </c>
    </row>
    <row r="263" spans="1:82" s="180" customFormat="1" x14ac:dyDescent="0.3">
      <c r="A263">
        <v>9004</v>
      </c>
      <c r="B263" t="s">
        <v>958</v>
      </c>
      <c r="C263" t="s">
        <v>959</v>
      </c>
      <c r="D263" t="s">
        <v>960</v>
      </c>
      <c r="E263" t="s">
        <v>960</v>
      </c>
      <c r="F263" t="s">
        <v>349</v>
      </c>
      <c r="G263" t="s">
        <v>960</v>
      </c>
      <c r="H263" t="s">
        <v>960</v>
      </c>
      <c r="I263" t="s">
        <v>960</v>
      </c>
      <c r="J263" t="s">
        <v>349</v>
      </c>
      <c r="K263" t="s">
        <v>960</v>
      </c>
      <c r="L263" t="s">
        <v>960</v>
      </c>
      <c r="M263" t="s">
        <v>349</v>
      </c>
      <c r="N263" t="s">
        <v>349</v>
      </c>
      <c r="O263" t="s">
        <v>349</v>
      </c>
      <c r="P263" t="s">
        <v>960</v>
      </c>
      <c r="Q263" t="s">
        <v>960</v>
      </c>
      <c r="R263" t="s">
        <v>349</v>
      </c>
      <c r="S263" t="s">
        <v>960</v>
      </c>
      <c r="T263" t="s">
        <v>960</v>
      </c>
      <c r="U263" t="s">
        <v>960</v>
      </c>
      <c r="V263" t="s">
        <v>960</v>
      </c>
      <c r="W263" t="s">
        <v>349</v>
      </c>
      <c r="X263" t="s">
        <v>960</v>
      </c>
      <c r="Y263" t="s">
        <v>960</v>
      </c>
      <c r="Z263" t="s">
        <v>960</v>
      </c>
      <c r="AA263" t="s">
        <v>960</v>
      </c>
      <c r="AB263" t="s">
        <v>960</v>
      </c>
      <c r="AC263" t="s">
        <v>349</v>
      </c>
      <c r="AD263" t="s">
        <v>349</v>
      </c>
      <c r="AE263" t="s">
        <v>349</v>
      </c>
      <c r="AF263" t="s">
        <v>960</v>
      </c>
      <c r="AG263" t="s">
        <v>349</v>
      </c>
      <c r="AH263" t="s">
        <v>960</v>
      </c>
      <c r="AI263" t="s">
        <v>960</v>
      </c>
      <c r="AJ263" t="s">
        <v>960</v>
      </c>
      <c r="AK263" t="s">
        <v>960</v>
      </c>
      <c r="AL263" t="s">
        <v>960</v>
      </c>
      <c r="AM263" t="s">
        <v>960</v>
      </c>
      <c r="AN263" t="s">
        <v>960</v>
      </c>
      <c r="AO263" t="s">
        <v>349</v>
      </c>
      <c r="AP263" t="s">
        <v>960</v>
      </c>
      <c r="AQ263" t="s">
        <v>349</v>
      </c>
      <c r="AR263" t="s">
        <v>349</v>
      </c>
      <c r="AS263" t="s">
        <v>960</v>
      </c>
      <c r="AT263" t="s">
        <v>960</v>
      </c>
      <c r="AU263" t="s">
        <v>960</v>
      </c>
      <c r="AV263" t="s">
        <v>960</v>
      </c>
      <c r="AW263" t="s">
        <v>960</v>
      </c>
      <c r="AX263" t="s">
        <v>960</v>
      </c>
      <c r="AY263" t="s">
        <v>960</v>
      </c>
      <c r="AZ263" t="s">
        <v>960</v>
      </c>
      <c r="BA263" t="s">
        <v>960</v>
      </c>
      <c r="BB263" t="s">
        <v>960</v>
      </c>
      <c r="BC263" t="s">
        <v>960</v>
      </c>
      <c r="BD263" t="s">
        <v>349</v>
      </c>
      <c r="BE263" t="s">
        <v>960</v>
      </c>
      <c r="BF263" t="s">
        <v>960</v>
      </c>
      <c r="BG263" t="s">
        <v>349</v>
      </c>
      <c r="BH263" t="s">
        <v>960</v>
      </c>
      <c r="BI263" t="s">
        <v>960</v>
      </c>
      <c r="BJ263" t="s">
        <v>349</v>
      </c>
      <c r="BK263" t="s">
        <v>349</v>
      </c>
      <c r="BL263" t="s">
        <v>960</v>
      </c>
      <c r="BM263" t="s">
        <v>960</v>
      </c>
      <c r="BN263" t="s">
        <v>960</v>
      </c>
      <c r="BO263" t="s">
        <v>960</v>
      </c>
      <c r="BP263" t="s">
        <v>960</v>
      </c>
      <c r="BQ263" t="s">
        <v>960</v>
      </c>
      <c r="BR263" t="s">
        <v>960</v>
      </c>
      <c r="BS263" s="180" t="s">
        <v>349</v>
      </c>
      <c r="BT263" s="180" t="s">
        <v>960</v>
      </c>
      <c r="BU263" s="180" t="s">
        <v>960</v>
      </c>
      <c r="BV263" s="180" t="s">
        <v>960</v>
      </c>
      <c r="BW263" s="180" t="s">
        <v>960</v>
      </c>
      <c r="BX263" s="180" t="s">
        <v>349</v>
      </c>
      <c r="BY263" s="180" t="s">
        <v>960</v>
      </c>
      <c r="BZ263" s="180" t="s">
        <v>960</v>
      </c>
      <c r="CA263" s="180" t="s">
        <v>349</v>
      </c>
      <c r="CB263" s="180" t="s">
        <v>960</v>
      </c>
      <c r="CC263" s="180" t="s">
        <v>349</v>
      </c>
      <c r="CD263" s="180" t="s">
        <v>349</v>
      </c>
    </row>
    <row r="264" spans="1:82" s="180" customFormat="1" x14ac:dyDescent="0.3">
      <c r="A264">
        <v>9005</v>
      </c>
      <c r="B264" t="s">
        <v>961</v>
      </c>
      <c r="C264" t="s">
        <v>962</v>
      </c>
      <c r="D264">
        <v>0</v>
      </c>
      <c r="E264">
        <v>822698</v>
      </c>
      <c r="F264">
        <v>604440</v>
      </c>
      <c r="G264">
        <v>1155372</v>
      </c>
      <c r="H264">
        <v>1363258</v>
      </c>
      <c r="I264">
        <v>315708</v>
      </c>
      <c r="J264">
        <v>103109</v>
      </c>
      <c r="K264">
        <v>411154</v>
      </c>
      <c r="L264">
        <v>2382565</v>
      </c>
      <c r="M264">
        <v>57811135</v>
      </c>
      <c r="N264">
        <v>3416877</v>
      </c>
      <c r="O264">
        <v>9623362</v>
      </c>
      <c r="P264">
        <v>140046</v>
      </c>
      <c r="Q264">
        <v>6513928</v>
      </c>
      <c r="R264">
        <v>187616</v>
      </c>
      <c r="S264">
        <v>626259</v>
      </c>
      <c r="T264">
        <v>1752206</v>
      </c>
      <c r="U264">
        <v>1749968</v>
      </c>
      <c r="V264">
        <v>6917930</v>
      </c>
      <c r="W264">
        <v>1239316</v>
      </c>
      <c r="X264">
        <v>721872</v>
      </c>
      <c r="Y264">
        <v>227553</v>
      </c>
      <c r="Z264">
        <v>39646058</v>
      </c>
      <c r="AA264">
        <v>4818379</v>
      </c>
      <c r="AB264">
        <v>1623226</v>
      </c>
      <c r="AC264">
        <v>40039660</v>
      </c>
      <c r="AD264">
        <v>752071</v>
      </c>
      <c r="AE264">
        <v>0</v>
      </c>
      <c r="AF264">
        <v>34246721</v>
      </c>
      <c r="AG264">
        <v>1205866</v>
      </c>
      <c r="AH264">
        <v>336339</v>
      </c>
      <c r="AI264">
        <v>2814606</v>
      </c>
      <c r="AJ264">
        <v>1299097</v>
      </c>
      <c r="AK264">
        <v>91743</v>
      </c>
      <c r="AL264">
        <v>18707781</v>
      </c>
      <c r="AM264">
        <v>694764</v>
      </c>
      <c r="AN264">
        <v>13357203</v>
      </c>
      <c r="AO264">
        <v>162585</v>
      </c>
      <c r="AP264">
        <v>5957696</v>
      </c>
      <c r="AQ264">
        <v>3068948</v>
      </c>
      <c r="AR264">
        <v>275111</v>
      </c>
      <c r="AS264">
        <v>2308759</v>
      </c>
      <c r="AT264">
        <v>1135771</v>
      </c>
      <c r="AU264">
        <v>91955153</v>
      </c>
      <c r="AV264">
        <v>26361136</v>
      </c>
      <c r="AW264">
        <v>1564372</v>
      </c>
      <c r="AX264">
        <v>263797</v>
      </c>
      <c r="AY264">
        <v>534261</v>
      </c>
      <c r="AZ264">
        <v>0</v>
      </c>
      <c r="BA264">
        <v>776447</v>
      </c>
      <c r="BB264">
        <v>4193562</v>
      </c>
      <c r="BC264">
        <v>1389621</v>
      </c>
      <c r="BD264">
        <v>259588</v>
      </c>
      <c r="BE264">
        <v>160983</v>
      </c>
      <c r="BF264">
        <v>6522446</v>
      </c>
      <c r="BG264">
        <v>73261</v>
      </c>
      <c r="BH264">
        <v>13603546</v>
      </c>
      <c r="BI264">
        <v>1146447</v>
      </c>
      <c r="BJ264">
        <v>582916</v>
      </c>
      <c r="BK264">
        <v>527380</v>
      </c>
      <c r="BL264">
        <v>9777082</v>
      </c>
      <c r="BM264">
        <v>7354518</v>
      </c>
      <c r="BN264">
        <v>1361718</v>
      </c>
      <c r="BO264">
        <v>35030029</v>
      </c>
      <c r="BP264">
        <v>40192303</v>
      </c>
      <c r="BQ264">
        <v>340198</v>
      </c>
      <c r="BR264">
        <v>4011184</v>
      </c>
      <c r="BS264" s="180">
        <v>2496022</v>
      </c>
      <c r="BT264" s="180">
        <v>11251994</v>
      </c>
      <c r="BU264" s="180">
        <v>284426</v>
      </c>
      <c r="BV264" s="180">
        <v>604278</v>
      </c>
      <c r="BW264" s="180">
        <v>5158971</v>
      </c>
      <c r="BX264" s="180">
        <v>2179645</v>
      </c>
      <c r="BY264" s="180">
        <v>29213926</v>
      </c>
      <c r="BZ264" s="180">
        <v>258814</v>
      </c>
      <c r="CA264" s="180">
        <v>5402130</v>
      </c>
      <c r="CB264" s="180">
        <v>991147</v>
      </c>
      <c r="CC264" s="180">
        <v>2451637</v>
      </c>
      <c r="CD264" s="180">
        <v>45967389</v>
      </c>
    </row>
    <row r="265" spans="1:82" s="180" customFormat="1" x14ac:dyDescent="0.3">
      <c r="A265">
        <v>9006</v>
      </c>
      <c r="B265" t="s">
        <v>963</v>
      </c>
      <c r="C265" t="s">
        <v>964</v>
      </c>
      <c r="D265">
        <v>0</v>
      </c>
      <c r="E265">
        <v>2420357</v>
      </c>
      <c r="F265">
        <v>349860</v>
      </c>
      <c r="G265">
        <v>1034064</v>
      </c>
      <c r="H265">
        <v>609468</v>
      </c>
      <c r="I265">
        <v>74226</v>
      </c>
      <c r="J265">
        <v>58728</v>
      </c>
      <c r="K265">
        <v>110073</v>
      </c>
      <c r="L265">
        <v>6841275</v>
      </c>
      <c r="M265">
        <v>195032397</v>
      </c>
      <c r="N265">
        <v>2898223</v>
      </c>
      <c r="O265">
        <v>8310518</v>
      </c>
      <c r="P265">
        <v>164084</v>
      </c>
      <c r="Q265">
        <v>12725841</v>
      </c>
      <c r="R265">
        <v>90428</v>
      </c>
      <c r="S265">
        <v>354443</v>
      </c>
      <c r="T265">
        <v>2423062</v>
      </c>
      <c r="U265">
        <v>1155873</v>
      </c>
      <c r="V265">
        <v>5027929</v>
      </c>
      <c r="W265">
        <v>2020275</v>
      </c>
      <c r="X265">
        <v>725939</v>
      </c>
      <c r="Y265">
        <v>1076002</v>
      </c>
      <c r="Z265">
        <v>54022162</v>
      </c>
      <c r="AA265">
        <v>1078655</v>
      </c>
      <c r="AB265">
        <v>528356</v>
      </c>
      <c r="AC265">
        <v>46142639</v>
      </c>
      <c r="AD265">
        <v>1393813</v>
      </c>
      <c r="AE265">
        <v>0</v>
      </c>
      <c r="AF265">
        <v>82162425</v>
      </c>
      <c r="AG265">
        <v>170281</v>
      </c>
      <c r="AH265">
        <v>296256</v>
      </c>
      <c r="AI265">
        <v>11025438</v>
      </c>
      <c r="AJ265">
        <v>1602230</v>
      </c>
      <c r="AK265">
        <v>92090</v>
      </c>
      <c r="AL265">
        <v>36763966</v>
      </c>
      <c r="AM265">
        <v>219347</v>
      </c>
      <c r="AN265">
        <v>16253758</v>
      </c>
      <c r="AO265">
        <v>48125</v>
      </c>
      <c r="AP265">
        <v>7009562</v>
      </c>
      <c r="AQ265">
        <v>2926235</v>
      </c>
      <c r="AR265">
        <v>69946</v>
      </c>
      <c r="AS265">
        <v>1449914</v>
      </c>
      <c r="AT265">
        <v>208739</v>
      </c>
      <c r="AU265">
        <v>407911080</v>
      </c>
      <c r="AV265">
        <v>98289610</v>
      </c>
      <c r="AW265">
        <v>1958494</v>
      </c>
      <c r="AX265">
        <v>383577</v>
      </c>
      <c r="AY265">
        <v>463192</v>
      </c>
      <c r="AZ265">
        <v>0</v>
      </c>
      <c r="BA265">
        <v>498388</v>
      </c>
      <c r="BB265">
        <v>6253924</v>
      </c>
      <c r="BC265">
        <v>249527</v>
      </c>
      <c r="BD265">
        <v>118498</v>
      </c>
      <c r="BE265">
        <v>46319</v>
      </c>
      <c r="BF265">
        <v>22802231</v>
      </c>
      <c r="BG265">
        <v>27092</v>
      </c>
      <c r="BH265">
        <v>14825593</v>
      </c>
      <c r="BI265">
        <v>2860078</v>
      </c>
      <c r="BJ265">
        <v>236762</v>
      </c>
      <c r="BK265">
        <v>67306</v>
      </c>
      <c r="BL265">
        <v>18077946</v>
      </c>
      <c r="BM265">
        <v>24387091</v>
      </c>
      <c r="BN265">
        <v>2262394</v>
      </c>
      <c r="BO265">
        <v>70735078</v>
      </c>
      <c r="BP265">
        <v>135434943</v>
      </c>
      <c r="BQ265">
        <v>421291</v>
      </c>
      <c r="BR265">
        <v>6469387</v>
      </c>
      <c r="BS265" s="180">
        <v>942895</v>
      </c>
      <c r="BT265" s="180">
        <v>13254276</v>
      </c>
      <c r="BU265" s="180">
        <v>143080</v>
      </c>
      <c r="BV265" s="180">
        <v>255383</v>
      </c>
      <c r="BW265" s="180">
        <v>3889777</v>
      </c>
      <c r="BX265" s="180">
        <v>5899885</v>
      </c>
      <c r="BY265" s="180">
        <v>57736343</v>
      </c>
      <c r="BZ265" s="180">
        <v>432838</v>
      </c>
      <c r="CA265" s="180">
        <v>16368040</v>
      </c>
      <c r="CB265" s="180">
        <v>507544</v>
      </c>
      <c r="CC265" s="180">
        <v>4431246</v>
      </c>
      <c r="CD265" s="180">
        <v>58984617</v>
      </c>
    </row>
    <row r="266" spans="1:82" s="180" customFormat="1" x14ac:dyDescent="0.3">
      <c r="A266">
        <v>9007</v>
      </c>
      <c r="B266" t="s">
        <v>1531</v>
      </c>
      <c r="C266" t="s">
        <v>965</v>
      </c>
      <c r="D266">
        <v>0</v>
      </c>
      <c r="E266">
        <v>0.33989999999999998</v>
      </c>
      <c r="F266">
        <v>1.7277</v>
      </c>
      <c r="G266">
        <v>1.1173</v>
      </c>
      <c r="H266">
        <v>2.2368000000000001</v>
      </c>
      <c r="I266">
        <v>4.2533000000000003</v>
      </c>
      <c r="J266">
        <v>1.7557</v>
      </c>
      <c r="K266">
        <v>3.7353000000000001</v>
      </c>
      <c r="L266">
        <v>0.3483</v>
      </c>
      <c r="M266">
        <v>0.2964</v>
      </c>
      <c r="N266">
        <v>1.179</v>
      </c>
      <c r="O266">
        <v>1.1579999999999999</v>
      </c>
      <c r="P266">
        <v>0.85350000000000004</v>
      </c>
      <c r="Q266">
        <v>0.51190000000000002</v>
      </c>
      <c r="R266">
        <v>2.0748000000000002</v>
      </c>
      <c r="S266">
        <v>1.7668999999999999</v>
      </c>
      <c r="T266">
        <v>0.72309999999999997</v>
      </c>
      <c r="U266">
        <v>1.514</v>
      </c>
      <c r="V266">
        <v>1.3758999999999999</v>
      </c>
      <c r="W266">
        <v>0.61339999999999995</v>
      </c>
      <c r="X266">
        <v>0.99439999999999995</v>
      </c>
      <c r="Y266">
        <v>0.21149999999999999</v>
      </c>
      <c r="Z266">
        <v>0.7339</v>
      </c>
      <c r="AA266">
        <v>4.4669999999999996</v>
      </c>
      <c r="AB266">
        <v>3.0722</v>
      </c>
      <c r="AC266">
        <v>0.86770000000000003</v>
      </c>
      <c r="AD266">
        <v>0.53959999999999997</v>
      </c>
      <c r="AE266">
        <v>0</v>
      </c>
      <c r="AF266">
        <v>0.4168</v>
      </c>
      <c r="AG266">
        <v>7.0815999999999999</v>
      </c>
      <c r="AH266">
        <v>1.1353</v>
      </c>
      <c r="AI266">
        <v>0.25530000000000003</v>
      </c>
      <c r="AJ266">
        <v>0.81079999999999997</v>
      </c>
      <c r="AK266">
        <v>0.99619999999999997</v>
      </c>
      <c r="AL266">
        <v>0.50890000000000002</v>
      </c>
      <c r="AM266">
        <v>3.1674000000000002</v>
      </c>
      <c r="AN266">
        <v>0.82179999999999997</v>
      </c>
      <c r="AO266">
        <v>3.3784000000000001</v>
      </c>
      <c r="AP266">
        <v>0.84989999999999999</v>
      </c>
      <c r="AQ266">
        <v>1.0488</v>
      </c>
      <c r="AR266">
        <v>3.9331999999999998</v>
      </c>
      <c r="AS266">
        <v>1.5923</v>
      </c>
      <c r="AT266">
        <v>5.4410999999999996</v>
      </c>
      <c r="AU266">
        <v>0.22539999999999999</v>
      </c>
      <c r="AV266">
        <v>0.26819999999999999</v>
      </c>
      <c r="AW266">
        <v>0.79879999999999995</v>
      </c>
      <c r="AX266">
        <v>0.68769999999999998</v>
      </c>
      <c r="AY266">
        <v>1.1534</v>
      </c>
      <c r="AZ266">
        <v>0</v>
      </c>
      <c r="BA266">
        <v>1.5579000000000001</v>
      </c>
      <c r="BB266">
        <v>0.67049999999999998</v>
      </c>
      <c r="BC266">
        <v>5.569</v>
      </c>
      <c r="BD266">
        <v>2.1907000000000001</v>
      </c>
      <c r="BE266">
        <v>3.4754999999999998</v>
      </c>
      <c r="BF266">
        <v>0.28599999999999998</v>
      </c>
      <c r="BG266">
        <v>2.7042000000000002</v>
      </c>
      <c r="BH266">
        <v>0.91759999999999997</v>
      </c>
      <c r="BI266">
        <v>0.40079999999999999</v>
      </c>
      <c r="BJ266">
        <v>2.4620000000000002</v>
      </c>
      <c r="BK266">
        <v>7.8356000000000003</v>
      </c>
      <c r="BL266">
        <v>0.54079999999999995</v>
      </c>
      <c r="BM266">
        <v>0.30159999999999998</v>
      </c>
      <c r="BN266">
        <v>0.60189999999999999</v>
      </c>
      <c r="BO266">
        <v>0.49519999999999997</v>
      </c>
      <c r="BP266">
        <v>0.29680000000000001</v>
      </c>
      <c r="BQ266">
        <v>0.8075</v>
      </c>
      <c r="BR266">
        <v>0.62</v>
      </c>
      <c r="BS266" s="180">
        <v>2.6472000000000002</v>
      </c>
      <c r="BT266" s="180">
        <v>0.84889999999999999</v>
      </c>
      <c r="BU266" s="180">
        <v>1.9879</v>
      </c>
      <c r="BV266" s="180">
        <v>2.3662000000000001</v>
      </c>
      <c r="BW266" s="180">
        <v>1.3263</v>
      </c>
      <c r="BX266" s="180">
        <v>0.36940000000000001</v>
      </c>
      <c r="BY266" s="180">
        <v>0.50600000000000001</v>
      </c>
      <c r="BZ266" s="180">
        <v>0.59789999999999999</v>
      </c>
      <c r="CA266" s="180">
        <v>0.33</v>
      </c>
      <c r="CB266" s="180">
        <v>1.9528000000000001</v>
      </c>
      <c r="CC266" s="180">
        <v>0.55330000000000001</v>
      </c>
      <c r="CD266" s="180">
        <v>0.77929999999999999</v>
      </c>
    </row>
    <row r="267" spans="1:82" s="180" customFormat="1" x14ac:dyDescent="0.3">
      <c r="A267">
        <v>9008</v>
      </c>
      <c r="B267" t="s">
        <v>966</v>
      </c>
      <c r="C267" t="s">
        <v>349</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s="180">
        <v>0</v>
      </c>
      <c r="BT267" s="180">
        <v>0</v>
      </c>
      <c r="BU267" s="180">
        <v>0</v>
      </c>
      <c r="BV267" s="180">
        <v>0</v>
      </c>
      <c r="BW267" s="180">
        <v>0</v>
      </c>
      <c r="BX267" s="180">
        <v>0</v>
      </c>
      <c r="BY267" s="180">
        <v>0</v>
      </c>
      <c r="BZ267" s="180">
        <v>0</v>
      </c>
      <c r="CA267" s="180">
        <v>0</v>
      </c>
      <c r="CB267" s="180">
        <v>0</v>
      </c>
      <c r="CC267" s="180">
        <v>0</v>
      </c>
      <c r="CD267" s="180">
        <v>0</v>
      </c>
    </row>
    <row r="268" spans="1:82" s="180" customFormat="1" x14ac:dyDescent="0.3">
      <c r="A268">
        <v>9010</v>
      </c>
      <c r="B268" t="s">
        <v>967</v>
      </c>
      <c r="C268" t="s">
        <v>968</v>
      </c>
      <c r="D268">
        <v>0</v>
      </c>
      <c r="E268">
        <v>1.77</v>
      </c>
      <c r="F268">
        <v>0</v>
      </c>
      <c r="G268">
        <v>36.520000000000003</v>
      </c>
      <c r="H268">
        <v>4.66</v>
      </c>
      <c r="I268">
        <v>8.0399999999999991</v>
      </c>
      <c r="J268">
        <v>0</v>
      </c>
      <c r="K268">
        <v>5.25</v>
      </c>
      <c r="L268">
        <v>4.03</v>
      </c>
      <c r="M268">
        <v>0</v>
      </c>
      <c r="N268">
        <v>0</v>
      </c>
      <c r="O268">
        <v>0</v>
      </c>
      <c r="P268">
        <v>2.94</v>
      </c>
      <c r="Q268">
        <v>6.18</v>
      </c>
      <c r="R268">
        <v>0</v>
      </c>
      <c r="S268">
        <v>13.12</v>
      </c>
      <c r="T268">
        <v>8.76</v>
      </c>
      <c r="U268">
        <v>31.85</v>
      </c>
      <c r="V268">
        <v>8.4</v>
      </c>
      <c r="W268">
        <v>0</v>
      </c>
      <c r="X268">
        <v>9.07</v>
      </c>
      <c r="Y268">
        <v>16.18</v>
      </c>
      <c r="Z268">
        <v>5.47</v>
      </c>
      <c r="AA268">
        <v>0</v>
      </c>
      <c r="AB268">
        <v>10</v>
      </c>
      <c r="AC268">
        <v>0</v>
      </c>
      <c r="AD268">
        <v>0</v>
      </c>
      <c r="AE268">
        <v>0</v>
      </c>
      <c r="AF268">
        <v>4.01</v>
      </c>
      <c r="AG268">
        <v>0</v>
      </c>
      <c r="AH268">
        <v>26.31</v>
      </c>
      <c r="AI268">
        <v>7.96</v>
      </c>
      <c r="AJ268">
        <v>0</v>
      </c>
      <c r="AK268">
        <v>0.92</v>
      </c>
      <c r="AL268">
        <v>8</v>
      </c>
      <c r="AM268">
        <v>1.65</v>
      </c>
      <c r="AN268">
        <v>10.17</v>
      </c>
      <c r="AO268">
        <v>0</v>
      </c>
      <c r="AP268">
        <v>2.83</v>
      </c>
      <c r="AQ268">
        <v>0</v>
      </c>
      <c r="AR268">
        <v>0</v>
      </c>
      <c r="AS268">
        <v>2.88</v>
      </c>
      <c r="AT268">
        <v>53.36</v>
      </c>
      <c r="AU268">
        <v>2.2400000000000002</v>
      </c>
      <c r="AV268">
        <v>2.96</v>
      </c>
      <c r="AW268">
        <v>15.52</v>
      </c>
      <c r="AX268">
        <v>1.96</v>
      </c>
      <c r="AY268">
        <v>0.76</v>
      </c>
      <c r="AZ268">
        <v>0</v>
      </c>
      <c r="BA268">
        <v>-0.23</v>
      </c>
      <c r="BB268">
        <v>48.77</v>
      </c>
      <c r="BC268">
        <v>30.66</v>
      </c>
      <c r="BD268">
        <v>0</v>
      </c>
      <c r="BE268">
        <v>12.28</v>
      </c>
      <c r="BF268">
        <v>6.19</v>
      </c>
      <c r="BG268">
        <v>0</v>
      </c>
      <c r="BH268">
        <v>22.47</v>
      </c>
      <c r="BI268">
        <v>4.49</v>
      </c>
      <c r="BJ268">
        <v>0</v>
      </c>
      <c r="BK268">
        <v>0</v>
      </c>
      <c r="BL268">
        <v>13.79</v>
      </c>
      <c r="BM268">
        <v>1.53</v>
      </c>
      <c r="BN268">
        <v>1.82</v>
      </c>
      <c r="BO268">
        <v>4.03</v>
      </c>
      <c r="BP268">
        <v>3.17</v>
      </c>
      <c r="BQ268">
        <v>22.73</v>
      </c>
      <c r="BR268">
        <v>1.17</v>
      </c>
      <c r="BS268" s="180">
        <v>0</v>
      </c>
      <c r="BT268" s="180">
        <v>3.13</v>
      </c>
      <c r="BU268" s="180">
        <v>67.37</v>
      </c>
      <c r="BV268" s="180">
        <v>39.049999999999997</v>
      </c>
      <c r="BW268" s="180">
        <v>3.67</v>
      </c>
      <c r="BX268" s="180">
        <v>0</v>
      </c>
      <c r="BY268" s="180">
        <v>4.9800000000000004</v>
      </c>
      <c r="BZ268" s="180">
        <v>2.11</v>
      </c>
      <c r="CA268" s="180">
        <v>0</v>
      </c>
      <c r="CB268" s="180">
        <v>108.13</v>
      </c>
      <c r="CC268" s="180">
        <v>0</v>
      </c>
      <c r="CD268" s="180">
        <v>0</v>
      </c>
    </row>
    <row r="269" spans="1:82" s="180" customFormat="1" x14ac:dyDescent="0.3">
      <c r="A269">
        <v>9011</v>
      </c>
      <c r="B269" t="s">
        <v>1665</v>
      </c>
      <c r="C269" t="s">
        <v>969</v>
      </c>
      <c r="D269">
        <v>0</v>
      </c>
      <c r="E269">
        <v>-8543</v>
      </c>
      <c r="F269">
        <v>0</v>
      </c>
      <c r="G269">
        <v>128172</v>
      </c>
      <c r="H269">
        <v>126426</v>
      </c>
      <c r="I269">
        <v>-1503</v>
      </c>
      <c r="J269">
        <v>0</v>
      </c>
      <c r="K269">
        <v>-2053</v>
      </c>
      <c r="L269">
        <v>965458</v>
      </c>
      <c r="M269">
        <v>0</v>
      </c>
      <c r="N269">
        <v>0</v>
      </c>
      <c r="O269">
        <v>0</v>
      </c>
      <c r="P269">
        <v>32940</v>
      </c>
      <c r="Q269">
        <v>710421</v>
      </c>
      <c r="R269">
        <v>0</v>
      </c>
      <c r="S269">
        <v>-116771</v>
      </c>
      <c r="T269">
        <v>229418</v>
      </c>
      <c r="U269">
        <v>84241</v>
      </c>
      <c r="V269">
        <v>1146869</v>
      </c>
      <c r="W269">
        <v>0</v>
      </c>
      <c r="X269">
        <v>78360</v>
      </c>
      <c r="Y269">
        <v>369027</v>
      </c>
      <c r="Z269">
        <v>9383036</v>
      </c>
      <c r="AA269">
        <v>19256</v>
      </c>
      <c r="AB269">
        <v>-2983</v>
      </c>
      <c r="AC269">
        <v>0</v>
      </c>
      <c r="AD269">
        <v>0</v>
      </c>
      <c r="AE269">
        <v>0</v>
      </c>
      <c r="AF269">
        <v>5586197</v>
      </c>
      <c r="AG269">
        <v>0</v>
      </c>
      <c r="AH269">
        <v>-405</v>
      </c>
      <c r="AI269">
        <v>-425011</v>
      </c>
      <c r="AJ269">
        <v>14279</v>
      </c>
      <c r="AK269">
        <v>24103</v>
      </c>
      <c r="AL269">
        <v>8397176</v>
      </c>
      <c r="AM269">
        <v>-98894</v>
      </c>
      <c r="AN269">
        <v>2894727</v>
      </c>
      <c r="AO269">
        <v>0</v>
      </c>
      <c r="AP269">
        <v>227162</v>
      </c>
      <c r="AQ269">
        <v>0</v>
      </c>
      <c r="AR269">
        <v>0</v>
      </c>
      <c r="AS269">
        <v>-8014</v>
      </c>
      <c r="AT269">
        <v>104485</v>
      </c>
      <c r="AU269">
        <v>34594058</v>
      </c>
      <c r="AV269">
        <v>6161321</v>
      </c>
      <c r="AW269">
        <v>-144421</v>
      </c>
      <c r="AX269">
        <v>10554</v>
      </c>
      <c r="AY269">
        <v>-163719</v>
      </c>
      <c r="AZ269">
        <v>0</v>
      </c>
      <c r="BA269">
        <v>-76338</v>
      </c>
      <c r="BB269">
        <v>-24120</v>
      </c>
      <c r="BC269">
        <v>-18347</v>
      </c>
      <c r="BD269">
        <v>0</v>
      </c>
      <c r="BE269">
        <v>16213</v>
      </c>
      <c r="BF269">
        <v>1177083</v>
      </c>
      <c r="BG269">
        <v>0</v>
      </c>
      <c r="BH269">
        <v>1020632</v>
      </c>
      <c r="BI269">
        <v>185415</v>
      </c>
      <c r="BJ269">
        <v>0</v>
      </c>
      <c r="BK269">
        <v>0</v>
      </c>
      <c r="BL269">
        <v>4209098</v>
      </c>
      <c r="BM269">
        <v>692515</v>
      </c>
      <c r="BN269">
        <v>43006</v>
      </c>
      <c r="BO269">
        <v>9977485</v>
      </c>
      <c r="BP269">
        <v>11114809</v>
      </c>
      <c r="BQ269">
        <v>34781</v>
      </c>
      <c r="BR269">
        <v>111054</v>
      </c>
      <c r="BS269" s="180">
        <v>0</v>
      </c>
      <c r="BT269" s="180">
        <v>2552394</v>
      </c>
      <c r="BU269" s="180">
        <v>639</v>
      </c>
      <c r="BV269" s="180">
        <v>-22291</v>
      </c>
      <c r="BW269" s="180">
        <v>-279196</v>
      </c>
      <c r="BX269" s="180">
        <v>0</v>
      </c>
      <c r="BY269" s="180">
        <v>861691</v>
      </c>
      <c r="BZ269" s="180">
        <v>13650</v>
      </c>
      <c r="CA269" s="180">
        <v>0</v>
      </c>
      <c r="CB269" s="180">
        <v>45054</v>
      </c>
      <c r="CC269" s="180">
        <v>0</v>
      </c>
      <c r="CD269" s="180">
        <v>0</v>
      </c>
    </row>
    <row r="270" spans="1:82" s="180" customFormat="1" x14ac:dyDescent="0.3">
      <c r="A270">
        <v>9012</v>
      </c>
      <c r="B270" t="s">
        <v>1666</v>
      </c>
      <c r="C270" t="s">
        <v>969</v>
      </c>
      <c r="D270">
        <v>0</v>
      </c>
      <c r="E270">
        <v>0.109</v>
      </c>
      <c r="F270">
        <v>0</v>
      </c>
      <c r="G270">
        <v>2.4323000000000001</v>
      </c>
      <c r="H270">
        <v>2.2526000000000002</v>
      </c>
      <c r="I270">
        <v>0.68540000000000001</v>
      </c>
      <c r="J270">
        <v>0</v>
      </c>
      <c r="K270">
        <v>0.58720000000000006</v>
      </c>
      <c r="L270">
        <v>0.98670000000000002</v>
      </c>
      <c r="M270">
        <v>0</v>
      </c>
      <c r="N270">
        <v>0</v>
      </c>
      <c r="O270">
        <v>0</v>
      </c>
      <c r="P270">
        <v>0.65480000000000005</v>
      </c>
      <c r="Q270">
        <v>1.3419000000000001</v>
      </c>
      <c r="R270">
        <v>0</v>
      </c>
      <c r="S270">
        <v>0.95299999999999996</v>
      </c>
      <c r="T270">
        <v>0.3392</v>
      </c>
      <c r="U270">
        <v>4.5483000000000002</v>
      </c>
      <c r="V270">
        <v>2.3258000000000001</v>
      </c>
      <c r="W270">
        <v>0</v>
      </c>
      <c r="X270">
        <v>0.54600000000000004</v>
      </c>
      <c r="Y270">
        <v>0.78779999999999994</v>
      </c>
      <c r="Z270">
        <v>2.1421000000000001</v>
      </c>
      <c r="AA270">
        <v>28.496400000000001</v>
      </c>
      <c r="AB270">
        <v>2.4518</v>
      </c>
      <c r="AC270">
        <v>0</v>
      </c>
      <c r="AD270">
        <v>0</v>
      </c>
      <c r="AE270">
        <v>0</v>
      </c>
      <c r="AF270">
        <v>0.56110000000000004</v>
      </c>
      <c r="AG270">
        <v>0</v>
      </c>
      <c r="AH270">
        <v>0.4708</v>
      </c>
      <c r="AI270">
        <v>0.57420000000000004</v>
      </c>
      <c r="AJ270">
        <v>7.173</v>
      </c>
      <c r="AK270">
        <v>2.0139</v>
      </c>
      <c r="AL270">
        <v>1.7519</v>
      </c>
      <c r="AM270">
        <v>1.5698000000000001</v>
      </c>
      <c r="AN270">
        <v>1.25</v>
      </c>
      <c r="AO270">
        <v>0</v>
      </c>
      <c r="AP270">
        <v>1.4136</v>
      </c>
      <c r="AQ270">
        <v>0</v>
      </c>
      <c r="AR270">
        <v>0</v>
      </c>
      <c r="AS270">
        <v>1.1862999999999999</v>
      </c>
      <c r="AT270">
        <v>0.34989999999999999</v>
      </c>
      <c r="AU270">
        <v>0.41689999999999999</v>
      </c>
      <c r="AV270">
        <v>0.53290000000000004</v>
      </c>
      <c r="AW270">
        <v>0.47170000000000001</v>
      </c>
      <c r="AX270">
        <v>0.1183</v>
      </c>
      <c r="AY270">
        <v>5.5999999999999999E-3</v>
      </c>
      <c r="AZ270">
        <v>0</v>
      </c>
      <c r="BA270">
        <v>1.726</v>
      </c>
      <c r="BB270">
        <v>1.2325999999999999</v>
      </c>
      <c r="BC270">
        <v>2.4940000000000002</v>
      </c>
      <c r="BD270">
        <v>0</v>
      </c>
      <c r="BE270">
        <v>1.2023999999999999</v>
      </c>
      <c r="BF270">
        <v>0.95950000000000002</v>
      </c>
      <c r="BG270">
        <v>0</v>
      </c>
      <c r="BH270">
        <v>1.6583000000000001</v>
      </c>
      <c r="BI270">
        <v>0.4914</v>
      </c>
      <c r="BJ270">
        <v>0</v>
      </c>
      <c r="BK270">
        <v>0</v>
      </c>
      <c r="BL270">
        <v>2.2048999999999999</v>
      </c>
      <c r="BM270">
        <v>0.44829999999999998</v>
      </c>
      <c r="BN270">
        <v>0.1109</v>
      </c>
      <c r="BO270">
        <v>1.1406000000000001</v>
      </c>
      <c r="BP270">
        <v>0.83579999999999999</v>
      </c>
      <c r="BQ270">
        <v>1.3563000000000001</v>
      </c>
      <c r="BR270">
        <v>0.1011</v>
      </c>
      <c r="BS270" s="180">
        <v>0</v>
      </c>
      <c r="BT270" s="180">
        <v>1.413</v>
      </c>
      <c r="BU270" s="180">
        <v>1.3583000000000001</v>
      </c>
      <c r="BV270" s="180">
        <v>0.39040000000000002</v>
      </c>
      <c r="BW270" s="180">
        <v>0.20469999999999999</v>
      </c>
      <c r="BX270" s="180">
        <v>0</v>
      </c>
      <c r="BY270" s="180">
        <v>2.0716000000000001</v>
      </c>
      <c r="BZ270" s="180">
        <v>2.4984999999999999</v>
      </c>
      <c r="CA270" s="180">
        <v>0</v>
      </c>
      <c r="CB270" s="180">
        <v>0.95860000000000001</v>
      </c>
      <c r="CC270" s="180">
        <v>0</v>
      </c>
      <c r="CD270" s="180">
        <v>0</v>
      </c>
    </row>
    <row r="271" spans="1:82" s="180" customFormat="1" x14ac:dyDescent="0.3">
      <c r="A271">
        <v>9013</v>
      </c>
      <c r="B271" t="s">
        <v>970</v>
      </c>
      <c r="C271" t="s">
        <v>971</v>
      </c>
      <c r="D271">
        <v>0</v>
      </c>
      <c r="E271">
        <v>1.77</v>
      </c>
      <c r="F271">
        <v>0</v>
      </c>
      <c r="G271">
        <v>36.520000000000003</v>
      </c>
      <c r="H271">
        <v>4.66</v>
      </c>
      <c r="I271">
        <v>8.0399999999999991</v>
      </c>
      <c r="J271">
        <v>0</v>
      </c>
      <c r="K271">
        <v>5.25</v>
      </c>
      <c r="L271">
        <v>4.03</v>
      </c>
      <c r="M271">
        <v>0</v>
      </c>
      <c r="N271">
        <v>0</v>
      </c>
      <c r="O271">
        <v>0</v>
      </c>
      <c r="P271">
        <v>2.94</v>
      </c>
      <c r="Q271">
        <v>6.18</v>
      </c>
      <c r="R271">
        <v>0</v>
      </c>
      <c r="S271">
        <v>13.12</v>
      </c>
      <c r="T271">
        <v>8.76</v>
      </c>
      <c r="U271">
        <v>31.85</v>
      </c>
      <c r="V271">
        <v>8.4</v>
      </c>
      <c r="W271">
        <v>0</v>
      </c>
      <c r="X271">
        <v>9.07</v>
      </c>
      <c r="Y271">
        <v>16.18</v>
      </c>
      <c r="Z271">
        <v>5.47</v>
      </c>
      <c r="AA271">
        <v>0</v>
      </c>
      <c r="AB271">
        <v>10</v>
      </c>
      <c r="AC271">
        <v>0</v>
      </c>
      <c r="AD271">
        <v>0</v>
      </c>
      <c r="AE271">
        <v>0</v>
      </c>
      <c r="AF271">
        <v>4.01</v>
      </c>
      <c r="AG271">
        <v>0</v>
      </c>
      <c r="AH271">
        <v>26.31</v>
      </c>
      <c r="AI271">
        <v>7.96</v>
      </c>
      <c r="AJ271">
        <v>0</v>
      </c>
      <c r="AK271">
        <v>0.92</v>
      </c>
      <c r="AL271">
        <v>8</v>
      </c>
      <c r="AM271">
        <v>1.65</v>
      </c>
      <c r="AN271">
        <v>10.17</v>
      </c>
      <c r="AO271">
        <v>0</v>
      </c>
      <c r="AP271">
        <v>2.83</v>
      </c>
      <c r="AQ271">
        <v>0</v>
      </c>
      <c r="AR271">
        <v>0</v>
      </c>
      <c r="AS271">
        <v>2.88</v>
      </c>
      <c r="AT271">
        <v>53.36</v>
      </c>
      <c r="AU271">
        <v>2.2400000000000002</v>
      </c>
      <c r="AV271">
        <v>2.96</v>
      </c>
      <c r="AW271">
        <v>15.52</v>
      </c>
      <c r="AX271">
        <v>1.96</v>
      </c>
      <c r="AY271">
        <v>0.76</v>
      </c>
      <c r="AZ271">
        <v>0</v>
      </c>
      <c r="BA271">
        <v>-0.23</v>
      </c>
      <c r="BB271">
        <v>48.77</v>
      </c>
      <c r="BC271">
        <v>30.66</v>
      </c>
      <c r="BD271">
        <v>0</v>
      </c>
      <c r="BE271">
        <v>12.28</v>
      </c>
      <c r="BF271">
        <v>6.19</v>
      </c>
      <c r="BG271">
        <v>0</v>
      </c>
      <c r="BH271">
        <v>22.47</v>
      </c>
      <c r="BI271">
        <v>4.49</v>
      </c>
      <c r="BJ271">
        <v>0</v>
      </c>
      <c r="BK271">
        <v>0</v>
      </c>
      <c r="BL271">
        <v>13.79</v>
      </c>
      <c r="BM271">
        <v>1.53</v>
      </c>
      <c r="BN271">
        <v>1.82</v>
      </c>
      <c r="BO271">
        <v>4.03</v>
      </c>
      <c r="BP271">
        <v>3.17</v>
      </c>
      <c r="BQ271">
        <v>22.73</v>
      </c>
      <c r="BR271">
        <v>1.17</v>
      </c>
      <c r="BS271" s="180">
        <v>0</v>
      </c>
      <c r="BT271" s="180">
        <v>3.13</v>
      </c>
      <c r="BU271" s="180">
        <v>67.37</v>
      </c>
      <c r="BV271" s="180">
        <v>39.049999999999997</v>
      </c>
      <c r="BW271" s="180">
        <v>3.67</v>
      </c>
      <c r="BX271" s="180">
        <v>0</v>
      </c>
      <c r="BY271" s="180">
        <v>4.9800000000000004</v>
      </c>
      <c r="BZ271" s="180">
        <v>2.11</v>
      </c>
      <c r="CA271" s="180">
        <v>0</v>
      </c>
      <c r="CB271" s="180">
        <v>108.13</v>
      </c>
      <c r="CC271" s="180">
        <v>0</v>
      </c>
      <c r="CD271" s="180">
        <v>0</v>
      </c>
    </row>
    <row r="272" spans="1:82" s="180" customFormat="1" x14ac:dyDescent="0.3">
      <c r="A272">
        <v>9014</v>
      </c>
      <c r="B272" t="s">
        <v>972</v>
      </c>
      <c r="C272" t="s">
        <v>973</v>
      </c>
      <c r="D272">
        <v>0</v>
      </c>
      <c r="E272">
        <v>0</v>
      </c>
      <c r="F272">
        <v>0</v>
      </c>
      <c r="G272">
        <v>0</v>
      </c>
      <c r="H272">
        <v>0</v>
      </c>
      <c r="I272">
        <v>0</v>
      </c>
      <c r="J272">
        <v>0</v>
      </c>
      <c r="K272">
        <v>0</v>
      </c>
      <c r="L272">
        <v>4.2300000000000004</v>
      </c>
      <c r="M272">
        <v>4.9800000000000004</v>
      </c>
      <c r="N272">
        <v>0</v>
      </c>
      <c r="O272">
        <v>0</v>
      </c>
      <c r="P272">
        <v>0</v>
      </c>
      <c r="Q272">
        <v>15.31</v>
      </c>
      <c r="R272">
        <v>0</v>
      </c>
      <c r="S272">
        <v>29.8</v>
      </c>
      <c r="T272">
        <v>0</v>
      </c>
      <c r="U272">
        <v>0</v>
      </c>
      <c r="V272">
        <v>0</v>
      </c>
      <c r="W272">
        <v>0</v>
      </c>
      <c r="X272">
        <v>0</v>
      </c>
      <c r="Y272">
        <v>6.1</v>
      </c>
      <c r="Z272">
        <v>0</v>
      </c>
      <c r="AA272">
        <v>0</v>
      </c>
      <c r="AB272">
        <v>0</v>
      </c>
      <c r="AC272">
        <v>0</v>
      </c>
      <c r="AD272">
        <v>0</v>
      </c>
      <c r="AE272">
        <v>0</v>
      </c>
      <c r="AF272">
        <v>9.34</v>
      </c>
      <c r="AG272">
        <v>0</v>
      </c>
      <c r="AH272">
        <v>0</v>
      </c>
      <c r="AI272">
        <v>0</v>
      </c>
      <c r="AJ272">
        <v>0</v>
      </c>
      <c r="AK272">
        <v>0</v>
      </c>
      <c r="AL272">
        <v>0</v>
      </c>
      <c r="AM272">
        <v>0</v>
      </c>
      <c r="AN272">
        <v>0</v>
      </c>
      <c r="AO272">
        <v>0</v>
      </c>
      <c r="AP272">
        <v>18.48</v>
      </c>
      <c r="AQ272">
        <v>0</v>
      </c>
      <c r="AR272">
        <v>0</v>
      </c>
      <c r="AS272">
        <v>0</v>
      </c>
      <c r="AT272">
        <v>0</v>
      </c>
      <c r="AU272">
        <v>0</v>
      </c>
      <c r="AV272">
        <v>3.27</v>
      </c>
      <c r="AW272">
        <v>0</v>
      </c>
      <c r="AX272">
        <v>0</v>
      </c>
      <c r="AY272">
        <v>0</v>
      </c>
      <c r="AZ272">
        <v>0</v>
      </c>
      <c r="BA272">
        <v>20.75</v>
      </c>
      <c r="BB272">
        <v>0</v>
      </c>
      <c r="BC272">
        <v>0</v>
      </c>
      <c r="BD272">
        <v>0</v>
      </c>
      <c r="BE272">
        <v>0</v>
      </c>
      <c r="BF272">
        <v>0</v>
      </c>
      <c r="BG272">
        <v>0</v>
      </c>
      <c r="BH272">
        <v>0</v>
      </c>
      <c r="BI272">
        <v>0</v>
      </c>
      <c r="BJ272">
        <v>0</v>
      </c>
      <c r="BK272">
        <v>0</v>
      </c>
      <c r="BL272">
        <v>0</v>
      </c>
      <c r="BM272">
        <v>0</v>
      </c>
      <c r="BN272">
        <v>7.66</v>
      </c>
      <c r="BO272">
        <v>0</v>
      </c>
      <c r="BP272">
        <v>8.39</v>
      </c>
      <c r="BQ272">
        <v>0</v>
      </c>
      <c r="BR272">
        <v>23.35</v>
      </c>
      <c r="BS272" s="180">
        <v>0</v>
      </c>
      <c r="BT272" s="180">
        <v>0</v>
      </c>
      <c r="BU272" s="180">
        <v>10.58</v>
      </c>
      <c r="BV272" s="180">
        <v>0</v>
      </c>
      <c r="BW272" s="180">
        <v>0</v>
      </c>
      <c r="BX272" s="180">
        <v>0</v>
      </c>
      <c r="BY272" s="180">
        <v>0</v>
      </c>
      <c r="BZ272" s="180">
        <v>8.1199999999999992</v>
      </c>
      <c r="CA272" s="180">
        <v>0</v>
      </c>
      <c r="CB272" s="180">
        <v>0</v>
      </c>
      <c r="CC272" s="180">
        <v>0</v>
      </c>
      <c r="CD272" s="180">
        <v>4.33</v>
      </c>
    </row>
    <row r="273" spans="1:104" s="180" customFormat="1" x14ac:dyDescent="0.3">
      <c r="A273">
        <v>9015</v>
      </c>
      <c r="B273" t="s">
        <v>1667</v>
      </c>
      <c r="C273" t="s">
        <v>349</v>
      </c>
      <c r="D273">
        <v>0</v>
      </c>
      <c r="E273">
        <v>0</v>
      </c>
      <c r="F273">
        <v>0</v>
      </c>
      <c r="G273">
        <v>0</v>
      </c>
      <c r="H273">
        <v>0</v>
      </c>
      <c r="I273">
        <v>0</v>
      </c>
      <c r="J273">
        <v>0</v>
      </c>
      <c r="K273">
        <v>0</v>
      </c>
      <c r="L273">
        <v>781974</v>
      </c>
      <c r="M273">
        <v>18880397</v>
      </c>
      <c r="N273">
        <v>0</v>
      </c>
      <c r="O273">
        <v>0</v>
      </c>
      <c r="P273">
        <v>0</v>
      </c>
      <c r="Q273">
        <v>1690944</v>
      </c>
      <c r="R273">
        <v>0</v>
      </c>
      <c r="S273">
        <v>18333</v>
      </c>
      <c r="T273">
        <v>0</v>
      </c>
      <c r="U273">
        <v>0</v>
      </c>
      <c r="V273">
        <v>0</v>
      </c>
      <c r="W273">
        <v>0</v>
      </c>
      <c r="X273">
        <v>0</v>
      </c>
      <c r="Y273">
        <v>90462</v>
      </c>
      <c r="Z273">
        <v>0</v>
      </c>
      <c r="AA273">
        <v>0</v>
      </c>
      <c r="AB273">
        <v>0</v>
      </c>
      <c r="AC273">
        <v>0</v>
      </c>
      <c r="AD273">
        <v>0</v>
      </c>
      <c r="AE273">
        <v>0</v>
      </c>
      <c r="AF273">
        <v>14749459</v>
      </c>
      <c r="AG273">
        <v>0</v>
      </c>
      <c r="AH273">
        <v>0</v>
      </c>
      <c r="AI273">
        <v>0</v>
      </c>
      <c r="AJ273">
        <v>0</v>
      </c>
      <c r="AK273">
        <v>0</v>
      </c>
      <c r="AL273">
        <v>0</v>
      </c>
      <c r="AM273">
        <v>0</v>
      </c>
      <c r="AN273">
        <v>0</v>
      </c>
      <c r="AO273">
        <v>0</v>
      </c>
      <c r="AP273">
        <v>765676</v>
      </c>
      <c r="AQ273">
        <v>0</v>
      </c>
      <c r="AR273">
        <v>0</v>
      </c>
      <c r="AS273">
        <v>0</v>
      </c>
      <c r="AT273">
        <v>0</v>
      </c>
      <c r="AU273">
        <v>0</v>
      </c>
      <c r="AV273">
        <v>8862481</v>
      </c>
      <c r="AW273">
        <v>0</v>
      </c>
      <c r="AX273">
        <v>0</v>
      </c>
      <c r="AY273">
        <v>0</v>
      </c>
      <c r="AZ273">
        <v>0</v>
      </c>
      <c r="BA273">
        <v>113635</v>
      </c>
      <c r="BB273">
        <v>0</v>
      </c>
      <c r="BC273">
        <v>0</v>
      </c>
      <c r="BD273">
        <v>0</v>
      </c>
      <c r="BE273">
        <v>0</v>
      </c>
      <c r="BF273">
        <v>0</v>
      </c>
      <c r="BG273">
        <v>0</v>
      </c>
      <c r="BH273">
        <v>0</v>
      </c>
      <c r="BI273">
        <v>0</v>
      </c>
      <c r="BJ273">
        <v>0</v>
      </c>
      <c r="BK273">
        <v>0</v>
      </c>
      <c r="BL273">
        <v>0</v>
      </c>
      <c r="BM273">
        <v>0</v>
      </c>
      <c r="BN273">
        <v>1089</v>
      </c>
      <c r="BO273">
        <v>0</v>
      </c>
      <c r="BP273">
        <v>12078935</v>
      </c>
      <c r="BQ273">
        <v>0</v>
      </c>
      <c r="BR273">
        <v>955049</v>
      </c>
      <c r="BS273" s="180">
        <v>0</v>
      </c>
      <c r="BT273" s="180">
        <v>0</v>
      </c>
      <c r="BU273" s="180">
        <v>1572</v>
      </c>
      <c r="BV273" s="180">
        <v>0</v>
      </c>
      <c r="BW273" s="180">
        <v>0</v>
      </c>
      <c r="BX273" s="180">
        <v>0</v>
      </c>
      <c r="BY273" s="180">
        <v>0</v>
      </c>
      <c r="BZ273" s="180">
        <v>-1474</v>
      </c>
      <c r="CA273" s="180">
        <v>0</v>
      </c>
      <c r="CB273" s="180">
        <v>0</v>
      </c>
      <c r="CC273" s="180">
        <v>0</v>
      </c>
      <c r="CD273" s="180">
        <v>4981755</v>
      </c>
    </row>
    <row r="274" spans="1:104" s="180" customFormat="1" x14ac:dyDescent="0.3">
      <c r="A274">
        <v>9016</v>
      </c>
      <c r="B274" t="s">
        <v>1668</v>
      </c>
      <c r="C274" t="s">
        <v>349</v>
      </c>
      <c r="D274">
        <v>0</v>
      </c>
      <c r="E274">
        <v>0</v>
      </c>
      <c r="F274">
        <v>0</v>
      </c>
      <c r="G274">
        <v>0</v>
      </c>
      <c r="H274">
        <v>0</v>
      </c>
      <c r="I274">
        <v>0</v>
      </c>
      <c r="J274">
        <v>0</v>
      </c>
      <c r="K274">
        <v>0</v>
      </c>
      <c r="L274">
        <v>0.12039999999999999</v>
      </c>
      <c r="M274">
        <v>0.36969999999999997</v>
      </c>
      <c r="N274">
        <v>0</v>
      </c>
      <c r="O274">
        <v>0</v>
      </c>
      <c r="P274">
        <v>0</v>
      </c>
      <c r="Q274">
        <v>0.34050000000000002</v>
      </c>
      <c r="R274">
        <v>0</v>
      </c>
      <c r="S274">
        <v>1.5013000000000001</v>
      </c>
      <c r="T274">
        <v>0</v>
      </c>
      <c r="U274">
        <v>0</v>
      </c>
      <c r="V274">
        <v>0</v>
      </c>
      <c r="W274">
        <v>0</v>
      </c>
      <c r="X274">
        <v>0</v>
      </c>
      <c r="Y274">
        <v>0.37790000000000001</v>
      </c>
      <c r="Z274">
        <v>0</v>
      </c>
      <c r="AA274">
        <v>0</v>
      </c>
      <c r="AB274">
        <v>0</v>
      </c>
      <c r="AC274">
        <v>0</v>
      </c>
      <c r="AD274">
        <v>0</v>
      </c>
      <c r="AE274">
        <v>0</v>
      </c>
      <c r="AF274">
        <v>0.84930000000000005</v>
      </c>
      <c r="AG274">
        <v>0</v>
      </c>
      <c r="AH274">
        <v>0</v>
      </c>
      <c r="AI274">
        <v>0</v>
      </c>
      <c r="AJ274">
        <v>0</v>
      </c>
      <c r="AK274">
        <v>0</v>
      </c>
      <c r="AL274">
        <v>0</v>
      </c>
      <c r="AM274">
        <v>0</v>
      </c>
      <c r="AN274">
        <v>0</v>
      </c>
      <c r="AO274">
        <v>0</v>
      </c>
      <c r="AP274">
        <v>1.1573</v>
      </c>
      <c r="AQ274">
        <v>0</v>
      </c>
      <c r="AR274">
        <v>0</v>
      </c>
      <c r="AS274">
        <v>0</v>
      </c>
      <c r="AT274">
        <v>0</v>
      </c>
      <c r="AU274">
        <v>0</v>
      </c>
      <c r="AV274">
        <v>0.24079999999999999</v>
      </c>
      <c r="AW274">
        <v>0</v>
      </c>
      <c r="AX274">
        <v>0</v>
      </c>
      <c r="AY274">
        <v>0</v>
      </c>
      <c r="AZ274">
        <v>0</v>
      </c>
      <c r="BA274">
        <v>1.7842</v>
      </c>
      <c r="BB274">
        <v>0</v>
      </c>
      <c r="BC274">
        <v>0</v>
      </c>
      <c r="BD274">
        <v>0</v>
      </c>
      <c r="BE274">
        <v>0</v>
      </c>
      <c r="BF274">
        <v>0</v>
      </c>
      <c r="BG274">
        <v>0</v>
      </c>
      <c r="BH274">
        <v>0</v>
      </c>
      <c r="BI274">
        <v>0</v>
      </c>
      <c r="BJ274">
        <v>0</v>
      </c>
      <c r="BK274">
        <v>0</v>
      </c>
      <c r="BL274">
        <v>0</v>
      </c>
      <c r="BM274">
        <v>0</v>
      </c>
      <c r="BN274">
        <v>0.28660000000000002</v>
      </c>
      <c r="BO274">
        <v>0</v>
      </c>
      <c r="BP274">
        <v>0.63419999999999999</v>
      </c>
      <c r="BQ274">
        <v>0</v>
      </c>
      <c r="BR274">
        <v>1.7758</v>
      </c>
      <c r="BS274" s="180">
        <v>0</v>
      </c>
      <c r="BT274" s="180">
        <v>0</v>
      </c>
      <c r="BU274" s="180">
        <v>0.65890000000000004</v>
      </c>
      <c r="BV274" s="180">
        <v>0</v>
      </c>
      <c r="BW274" s="180">
        <v>0</v>
      </c>
      <c r="BX274" s="180">
        <v>0</v>
      </c>
      <c r="BY274" s="180">
        <v>0</v>
      </c>
      <c r="BZ274" s="180">
        <v>0.28849999999999998</v>
      </c>
      <c r="CA274" s="180">
        <v>0</v>
      </c>
      <c r="CB274" s="180">
        <v>0</v>
      </c>
      <c r="CC274" s="180">
        <v>0</v>
      </c>
      <c r="CD274" s="180">
        <v>0.39979999999999999</v>
      </c>
    </row>
    <row r="275" spans="1:104" s="180" customFormat="1" x14ac:dyDescent="0.3">
      <c r="A275">
        <v>9017</v>
      </c>
      <c r="B275" t="s">
        <v>974</v>
      </c>
      <c r="C275" t="s">
        <v>975</v>
      </c>
      <c r="D275">
        <v>0</v>
      </c>
      <c r="E275">
        <v>0</v>
      </c>
      <c r="F275">
        <v>0</v>
      </c>
      <c r="G275">
        <v>0</v>
      </c>
      <c r="H275">
        <v>0</v>
      </c>
      <c r="I275">
        <v>0</v>
      </c>
      <c r="J275">
        <v>0</v>
      </c>
      <c r="K275">
        <v>0</v>
      </c>
      <c r="L275">
        <v>4.2300000000000004</v>
      </c>
      <c r="M275">
        <v>4.9800000000000004</v>
      </c>
      <c r="N275">
        <v>0</v>
      </c>
      <c r="O275">
        <v>0</v>
      </c>
      <c r="P275">
        <v>0</v>
      </c>
      <c r="Q275">
        <v>15.31</v>
      </c>
      <c r="R275">
        <v>0</v>
      </c>
      <c r="S275">
        <v>29.8</v>
      </c>
      <c r="T275">
        <v>0</v>
      </c>
      <c r="U275">
        <v>0</v>
      </c>
      <c r="V275">
        <v>0</v>
      </c>
      <c r="W275">
        <v>0</v>
      </c>
      <c r="X275">
        <v>0</v>
      </c>
      <c r="Y275">
        <v>6.1</v>
      </c>
      <c r="Z275">
        <v>0</v>
      </c>
      <c r="AA275">
        <v>0</v>
      </c>
      <c r="AB275">
        <v>0</v>
      </c>
      <c r="AC275">
        <v>0</v>
      </c>
      <c r="AD275">
        <v>0</v>
      </c>
      <c r="AE275">
        <v>0</v>
      </c>
      <c r="AF275">
        <v>9.34</v>
      </c>
      <c r="AG275">
        <v>0</v>
      </c>
      <c r="AH275">
        <v>0</v>
      </c>
      <c r="AI275">
        <v>0</v>
      </c>
      <c r="AJ275">
        <v>0</v>
      </c>
      <c r="AK275">
        <v>0</v>
      </c>
      <c r="AL275">
        <v>0</v>
      </c>
      <c r="AM275">
        <v>0</v>
      </c>
      <c r="AN275">
        <v>0</v>
      </c>
      <c r="AO275">
        <v>0</v>
      </c>
      <c r="AP275">
        <v>18.48</v>
      </c>
      <c r="AQ275">
        <v>0</v>
      </c>
      <c r="AR275">
        <v>0</v>
      </c>
      <c r="AS275">
        <v>0</v>
      </c>
      <c r="AT275">
        <v>0</v>
      </c>
      <c r="AU275">
        <v>0</v>
      </c>
      <c r="AV275">
        <v>3.27</v>
      </c>
      <c r="AW275">
        <v>0</v>
      </c>
      <c r="AX275">
        <v>0</v>
      </c>
      <c r="AY275">
        <v>0</v>
      </c>
      <c r="AZ275">
        <v>0</v>
      </c>
      <c r="BA275">
        <v>20.75</v>
      </c>
      <c r="BB275">
        <v>0</v>
      </c>
      <c r="BC275">
        <v>0</v>
      </c>
      <c r="BD275">
        <v>0</v>
      </c>
      <c r="BE275">
        <v>0</v>
      </c>
      <c r="BF275">
        <v>0</v>
      </c>
      <c r="BG275">
        <v>0</v>
      </c>
      <c r="BH275">
        <v>0</v>
      </c>
      <c r="BI275">
        <v>0</v>
      </c>
      <c r="BJ275">
        <v>0</v>
      </c>
      <c r="BK275">
        <v>0</v>
      </c>
      <c r="BL275">
        <v>0</v>
      </c>
      <c r="BM275">
        <v>0</v>
      </c>
      <c r="BN275">
        <v>7.66</v>
      </c>
      <c r="BO275">
        <v>0</v>
      </c>
      <c r="BP275">
        <v>8.39</v>
      </c>
      <c r="BQ275">
        <v>0</v>
      </c>
      <c r="BR275">
        <v>23.35</v>
      </c>
      <c r="BS275" s="180">
        <v>0</v>
      </c>
      <c r="BT275" s="180">
        <v>0</v>
      </c>
      <c r="BU275" s="180">
        <v>10.58</v>
      </c>
      <c r="BV275" s="180">
        <v>0</v>
      </c>
      <c r="BW275" s="180">
        <v>0</v>
      </c>
      <c r="BX275" s="180">
        <v>0</v>
      </c>
      <c r="BY275" s="180">
        <v>0</v>
      </c>
      <c r="BZ275" s="180">
        <v>8.1199999999999992</v>
      </c>
      <c r="CA275" s="180">
        <v>0</v>
      </c>
      <c r="CB275" s="180">
        <v>0</v>
      </c>
      <c r="CC275" s="180">
        <v>0</v>
      </c>
      <c r="CD275" s="180">
        <v>4.33</v>
      </c>
    </row>
    <row r="276" spans="1:104" x14ac:dyDescent="0.3">
      <c r="A276">
        <v>9018</v>
      </c>
      <c r="B276" t="s">
        <v>976</v>
      </c>
      <c r="C276" t="s">
        <v>977</v>
      </c>
      <c r="D276">
        <v>0</v>
      </c>
      <c r="E276">
        <v>150615</v>
      </c>
      <c r="F276">
        <v>38887</v>
      </c>
      <c r="G276">
        <v>49709</v>
      </c>
      <c r="H276">
        <v>130716</v>
      </c>
      <c r="I276">
        <v>3569</v>
      </c>
      <c r="J276">
        <v>1128</v>
      </c>
      <c r="K276">
        <v>170563</v>
      </c>
      <c r="L276">
        <v>867127</v>
      </c>
      <c r="M276">
        <v>69446293</v>
      </c>
      <c r="N276">
        <v>18978</v>
      </c>
      <c r="O276">
        <v>705696</v>
      </c>
      <c r="P276">
        <v>12814</v>
      </c>
      <c r="Q276">
        <v>6691579</v>
      </c>
      <c r="R276">
        <v>2000</v>
      </c>
      <c r="S276">
        <v>20431</v>
      </c>
      <c r="T276">
        <v>1256378</v>
      </c>
      <c r="U276">
        <v>34031</v>
      </c>
      <c r="V276">
        <v>1422520</v>
      </c>
      <c r="W276">
        <v>50097</v>
      </c>
      <c r="X276">
        <v>19196</v>
      </c>
      <c r="Y276">
        <v>169378</v>
      </c>
      <c r="Z276">
        <v>6256725</v>
      </c>
      <c r="AA276">
        <v>639524</v>
      </c>
      <c r="AB276">
        <v>14615</v>
      </c>
      <c r="AC276">
        <v>7419583</v>
      </c>
      <c r="AD276">
        <v>0</v>
      </c>
      <c r="AE276">
        <v>0</v>
      </c>
      <c r="AF276">
        <v>32909024</v>
      </c>
      <c r="AG276">
        <v>31265</v>
      </c>
      <c r="AH276">
        <v>2770</v>
      </c>
      <c r="AI276">
        <v>604139</v>
      </c>
      <c r="AJ276">
        <v>42971</v>
      </c>
      <c r="AK276">
        <v>491</v>
      </c>
      <c r="AL276">
        <v>6585677</v>
      </c>
      <c r="AM276">
        <v>3917</v>
      </c>
      <c r="AN276">
        <v>5185682</v>
      </c>
      <c r="AO276">
        <v>9518</v>
      </c>
      <c r="AP276">
        <v>282076</v>
      </c>
      <c r="AQ276">
        <v>56246</v>
      </c>
      <c r="AR276">
        <v>711</v>
      </c>
      <c r="AS276">
        <v>248646</v>
      </c>
      <c r="AT276">
        <v>176296</v>
      </c>
      <c r="AU276">
        <v>100675180</v>
      </c>
      <c r="AV276">
        <v>37846642</v>
      </c>
      <c r="AW276">
        <v>926658</v>
      </c>
      <c r="AX276">
        <v>20409</v>
      </c>
      <c r="AY276">
        <v>19415</v>
      </c>
      <c r="AZ276">
        <v>0</v>
      </c>
      <c r="BA276">
        <v>239</v>
      </c>
      <c r="BB276">
        <v>1398568</v>
      </c>
      <c r="BC276">
        <v>6927</v>
      </c>
      <c r="BD276">
        <v>9705</v>
      </c>
      <c r="BE276">
        <v>3414</v>
      </c>
      <c r="BF276">
        <v>2262321</v>
      </c>
      <c r="BG276">
        <v>0</v>
      </c>
      <c r="BH276">
        <v>700018</v>
      </c>
      <c r="BI276">
        <v>1011070</v>
      </c>
      <c r="BJ276">
        <v>10489</v>
      </c>
      <c r="BK276">
        <v>50410</v>
      </c>
      <c r="BL276">
        <v>2954769</v>
      </c>
      <c r="BM276">
        <v>2525553</v>
      </c>
      <c r="BN276">
        <v>892567</v>
      </c>
      <c r="BO276">
        <v>13046433</v>
      </c>
      <c r="BP276">
        <v>45670898</v>
      </c>
      <c r="BQ276">
        <v>6551</v>
      </c>
      <c r="BR276">
        <v>1120868</v>
      </c>
      <c r="BS276">
        <v>100847</v>
      </c>
      <c r="BT276">
        <v>1132355</v>
      </c>
      <c r="BU276">
        <v>4766</v>
      </c>
      <c r="BV276">
        <v>15445</v>
      </c>
      <c r="BW276">
        <v>2275698</v>
      </c>
      <c r="BX276">
        <v>1234100</v>
      </c>
      <c r="BY276">
        <v>21670276</v>
      </c>
      <c r="BZ276">
        <v>208115</v>
      </c>
      <c r="CA276">
        <v>24650331</v>
      </c>
      <c r="CB276">
        <v>72983</v>
      </c>
      <c r="CC276">
        <v>468454</v>
      </c>
      <c r="CD276">
        <v>25887540</v>
      </c>
    </row>
    <row r="277" spans="1:104" x14ac:dyDescent="0.3">
      <c r="A277">
        <v>9019</v>
      </c>
      <c r="B277" t="s">
        <v>978</v>
      </c>
      <c r="C277" t="s">
        <v>979</v>
      </c>
      <c r="D277">
        <v>0</v>
      </c>
      <c r="E277">
        <v>150615</v>
      </c>
      <c r="F277">
        <v>38887</v>
      </c>
      <c r="G277">
        <v>49709</v>
      </c>
      <c r="H277">
        <v>130716</v>
      </c>
      <c r="I277">
        <v>3569</v>
      </c>
      <c r="J277">
        <v>1128</v>
      </c>
      <c r="K277">
        <v>170563</v>
      </c>
      <c r="L277">
        <v>867127</v>
      </c>
      <c r="M277">
        <v>69446293</v>
      </c>
      <c r="N277">
        <v>18978</v>
      </c>
      <c r="O277">
        <v>705696</v>
      </c>
      <c r="P277">
        <v>12814</v>
      </c>
      <c r="Q277">
        <v>6691579</v>
      </c>
      <c r="R277">
        <v>2000</v>
      </c>
      <c r="S277">
        <v>20431</v>
      </c>
      <c r="T277">
        <v>1256378</v>
      </c>
      <c r="U277">
        <v>34031</v>
      </c>
      <c r="V277">
        <v>1422520</v>
      </c>
      <c r="W277">
        <v>50097</v>
      </c>
      <c r="X277">
        <v>19196</v>
      </c>
      <c r="Y277">
        <v>169378</v>
      </c>
      <c r="Z277">
        <v>6256725</v>
      </c>
      <c r="AA277">
        <v>639524</v>
      </c>
      <c r="AB277">
        <v>14615</v>
      </c>
      <c r="AC277">
        <v>7419583</v>
      </c>
      <c r="AD277">
        <v>0</v>
      </c>
      <c r="AE277">
        <v>0</v>
      </c>
      <c r="AF277">
        <v>32909024</v>
      </c>
      <c r="AG277">
        <v>31265</v>
      </c>
      <c r="AH277">
        <v>2770</v>
      </c>
      <c r="AI277">
        <v>604139</v>
      </c>
      <c r="AJ277">
        <v>42971</v>
      </c>
      <c r="AK277">
        <v>491</v>
      </c>
      <c r="AL277">
        <v>6585677</v>
      </c>
      <c r="AM277">
        <v>3917</v>
      </c>
      <c r="AN277">
        <v>5185682</v>
      </c>
      <c r="AO277">
        <v>9518</v>
      </c>
      <c r="AP277">
        <v>282076</v>
      </c>
      <c r="AQ277">
        <v>56246</v>
      </c>
      <c r="AR277">
        <v>711</v>
      </c>
      <c r="AS277">
        <v>248646</v>
      </c>
      <c r="AT277">
        <v>176296</v>
      </c>
      <c r="AU277">
        <v>100675180</v>
      </c>
      <c r="AV277">
        <v>37846642</v>
      </c>
      <c r="AW277">
        <v>926658</v>
      </c>
      <c r="AX277">
        <v>20409</v>
      </c>
      <c r="AY277">
        <v>19415</v>
      </c>
      <c r="AZ277">
        <v>0</v>
      </c>
      <c r="BA277">
        <v>239</v>
      </c>
      <c r="BB277">
        <v>1398568</v>
      </c>
      <c r="BC277">
        <v>6927</v>
      </c>
      <c r="BD277">
        <v>9705</v>
      </c>
      <c r="BE277">
        <v>3414</v>
      </c>
      <c r="BF277">
        <v>2262321</v>
      </c>
      <c r="BG277">
        <v>0</v>
      </c>
      <c r="BH277">
        <v>700018</v>
      </c>
      <c r="BI277">
        <v>1011070</v>
      </c>
      <c r="BJ277">
        <v>10489</v>
      </c>
      <c r="BK277">
        <v>50410</v>
      </c>
      <c r="BL277">
        <v>2954769</v>
      </c>
      <c r="BM277">
        <v>2525553</v>
      </c>
      <c r="BN277">
        <v>892567</v>
      </c>
      <c r="BO277">
        <v>13046433</v>
      </c>
      <c r="BP277">
        <v>45670898</v>
      </c>
      <c r="BQ277">
        <v>6551</v>
      </c>
      <c r="BR277">
        <v>1120868</v>
      </c>
      <c r="BS277">
        <v>100847</v>
      </c>
      <c r="BT277">
        <v>1132355</v>
      </c>
      <c r="BU277">
        <v>4766</v>
      </c>
      <c r="BV277">
        <v>15445</v>
      </c>
      <c r="BW277">
        <v>2275698</v>
      </c>
      <c r="BX277">
        <v>1234100</v>
      </c>
      <c r="BY277">
        <v>21670276</v>
      </c>
      <c r="BZ277">
        <v>208115</v>
      </c>
      <c r="CA277">
        <v>24650331</v>
      </c>
      <c r="CB277">
        <v>72983</v>
      </c>
      <c r="CC277">
        <v>468454</v>
      </c>
      <c r="CD277">
        <v>25887540</v>
      </c>
    </row>
    <row r="278" spans="1:104" s="784" customFormat="1" ht="28.8" x14ac:dyDescent="0.3">
      <c r="A278" s="785"/>
      <c r="B278" s="784" t="s">
        <v>1873</v>
      </c>
      <c r="C278" s="924" t="s">
        <v>1671</v>
      </c>
      <c r="D278" s="784" t="e">
        <f>(D106+D135-D3-D4-D5-D8+D191)/(D132+D109+D11-D133-D108-D234)</f>
        <v>#DIV/0!</v>
      </c>
      <c r="E278" s="784">
        <f t="shared" ref="E278:BP278" si="0">(E106+E135-E3-E4-E5-E8+E191)/(E132+E109+E11-E133-E108-E234)</f>
        <v>0.34925807419809907</v>
      </c>
      <c r="F278" s="784">
        <f t="shared" si="0"/>
        <v>1.727662493568856</v>
      </c>
      <c r="G278" s="784">
        <f t="shared" si="0"/>
        <v>1.1523149085476232</v>
      </c>
      <c r="H278" s="784">
        <f t="shared" si="0"/>
        <v>2.2367999632466349</v>
      </c>
      <c r="I278" s="784">
        <f t="shared" si="0"/>
        <v>5.2362297447464883</v>
      </c>
      <c r="J278" s="784">
        <f t="shared" si="0"/>
        <v>1.7892170472686888</v>
      </c>
      <c r="K278" s="784">
        <f t="shared" si="0"/>
        <v>5.5924862960595219</v>
      </c>
      <c r="L278" s="784">
        <f t="shared" si="0"/>
        <v>0.3534091969323287</v>
      </c>
      <c r="M278" s="784">
        <f t="shared" si="0"/>
        <v>0.3062317207128733</v>
      </c>
      <c r="N278" s="784">
        <f t="shared" si="0"/>
        <v>1.178955863644723</v>
      </c>
      <c r="O278" s="784">
        <f t="shared" si="0"/>
        <v>1.1786087917993566</v>
      </c>
      <c r="P278" s="784">
        <f t="shared" si="0"/>
        <v>0.90796281168553317</v>
      </c>
      <c r="Q278" s="784">
        <f t="shared" si="0"/>
        <v>0.52029945105964059</v>
      </c>
      <c r="R278" s="784">
        <f t="shared" si="0"/>
        <v>2.2232544911598806</v>
      </c>
      <c r="S278" s="784">
        <f t="shared" si="0"/>
        <v>1.7758001264663432</v>
      </c>
      <c r="T278" s="784">
        <f t="shared" si="0"/>
        <v>0.74210169663806469</v>
      </c>
      <c r="U278" s="784">
        <f t="shared" si="0"/>
        <v>1.5139794769840631</v>
      </c>
      <c r="V278" s="784">
        <f t="shared" si="0"/>
        <v>1.3880794909280323</v>
      </c>
      <c r="W278" s="784">
        <f t="shared" si="0"/>
        <v>0.63911786062016274</v>
      </c>
      <c r="X278" s="784">
        <f t="shared" si="0"/>
        <v>0.99662303021601006</v>
      </c>
      <c r="Y278" s="784">
        <f t="shared" si="0"/>
        <v>0.22651172559742863</v>
      </c>
      <c r="Z278" s="784">
        <f t="shared" si="0"/>
        <v>0.74194764996762896</v>
      </c>
      <c r="AA278" s="784">
        <f t="shared" si="0"/>
        <v>4.4670251377873367</v>
      </c>
      <c r="AB278" s="784">
        <f t="shared" si="0"/>
        <v>3.0919650578496025</v>
      </c>
      <c r="AC278" s="784">
        <f t="shared" si="0"/>
        <v>0.8727598800298092</v>
      </c>
      <c r="AD278" s="784">
        <f t="shared" si="0"/>
        <v>0.54714815038460451</v>
      </c>
      <c r="AE278" s="784" t="e">
        <f t="shared" si="0"/>
        <v>#DIV/0!</v>
      </c>
      <c r="AF278" s="784">
        <f t="shared" si="0"/>
        <v>0.42342579942408576</v>
      </c>
      <c r="AG278" s="784">
        <f t="shared" si="0"/>
        <v>7.0974208661463667</v>
      </c>
      <c r="AH278" s="784">
        <f t="shared" si="0"/>
        <v>1.3372150348677252</v>
      </c>
      <c r="AI278" s="784">
        <f t="shared" si="0"/>
        <v>0.25681583353011617</v>
      </c>
      <c r="AJ278" s="784">
        <f t="shared" si="0"/>
        <v>0.82176704042994375</v>
      </c>
      <c r="AK278" s="784">
        <f t="shared" si="0"/>
        <v>0.99623194700836137</v>
      </c>
      <c r="AL278" s="784">
        <f t="shared" si="0"/>
        <v>0.52322335650761498</v>
      </c>
      <c r="AM278" s="784">
        <f t="shared" si="0"/>
        <v>3.4888920134983126</v>
      </c>
      <c r="AN278" s="784">
        <f t="shared" si="0"/>
        <v>0.82179167427003652</v>
      </c>
      <c r="AO278" s="784">
        <f t="shared" si="0"/>
        <v>3.3783896103896103</v>
      </c>
      <c r="AP278" s="784">
        <f t="shared" si="0"/>
        <v>0.89908324444661758</v>
      </c>
      <c r="AQ278" s="784">
        <f t="shared" si="0"/>
        <v>1.0828146743103599</v>
      </c>
      <c r="AR278" s="784">
        <f t="shared" si="0"/>
        <v>3.9331913190175278</v>
      </c>
      <c r="AS278" s="784">
        <f t="shared" si="0"/>
        <v>1.6045941079047541</v>
      </c>
      <c r="AT278" s="784">
        <f t="shared" si="0"/>
        <v>5.7787111282969716</v>
      </c>
      <c r="AU278" s="784">
        <f t="shared" si="0"/>
        <v>0.22542940731102473</v>
      </c>
      <c r="AV278" s="784">
        <f t="shared" si="0"/>
        <v>0.26819860206994411</v>
      </c>
      <c r="AW278" s="784">
        <f t="shared" si="0"/>
        <v>0.83112823267331726</v>
      </c>
      <c r="AX278" s="784">
        <f t="shared" si="0"/>
        <v>0.70525282986584537</v>
      </c>
      <c r="AY278" s="784">
        <f t="shared" si="0"/>
        <v>1.2907318063108661</v>
      </c>
      <c r="AZ278" s="784" t="e">
        <f t="shared" si="0"/>
        <v>#DIV/0!</v>
      </c>
      <c r="BA278" s="784">
        <f t="shared" si="0"/>
        <v>1.6745031141629716</v>
      </c>
      <c r="BB278" s="784">
        <f t="shared" si="0"/>
        <v>0.69252952764520159</v>
      </c>
      <c r="BC278" s="784">
        <f t="shared" si="0"/>
        <v>5.9632964137510784</v>
      </c>
      <c r="BD278" s="784">
        <f t="shared" si="0"/>
        <v>2.3026185069543001</v>
      </c>
      <c r="BE278" s="784">
        <f t="shared" si="0"/>
        <v>3.4755284008722125</v>
      </c>
      <c r="BF278" s="784">
        <f t="shared" si="0"/>
        <v>0.29318012655147963</v>
      </c>
      <c r="BG278" s="784">
        <f t="shared" si="0"/>
        <v>2.7041562084748265</v>
      </c>
      <c r="BH278" s="784">
        <f t="shared" si="0"/>
        <v>0.97934770127458393</v>
      </c>
      <c r="BI278" s="784">
        <f t="shared" si="0"/>
        <v>0.40610010750726605</v>
      </c>
      <c r="BJ278" s="784">
        <f t="shared" si="0"/>
        <v>2.4620336033654051</v>
      </c>
      <c r="BK278" s="784">
        <f t="shared" si="0"/>
        <v>7.8355570082904942</v>
      </c>
      <c r="BL278" s="784">
        <f t="shared" si="0"/>
        <v>0.55454383806117169</v>
      </c>
      <c r="BM278" s="784">
        <f t="shared" si="0"/>
        <v>0.30741513845622931</v>
      </c>
      <c r="BN278" s="784">
        <f t="shared" si="0"/>
        <v>0.60425622929927258</v>
      </c>
      <c r="BO278" s="784">
        <f t="shared" si="0"/>
        <v>0.49522853427828267</v>
      </c>
      <c r="BP278" s="784">
        <f t="shared" si="0"/>
        <v>0.30403704703430218</v>
      </c>
      <c r="BQ278" s="784">
        <f t="shared" ref="BQ278:BR278" si="1">(BQ106+BQ135-BQ3-BQ4-BQ5-BQ8+BQ191)/(BQ132+BQ109+BQ11-BQ133-BQ108-BQ234)</f>
        <v>0.8436069492592978</v>
      </c>
      <c r="BR278" s="784">
        <f t="shared" si="1"/>
        <v>0.62485467849188714</v>
      </c>
      <c r="BS278" s="784">
        <f t="shared" ref="BS278:CD278" si="2">(BS106+BS135-BS3-BS4-BS5-BS8+BS191)/(BS132+BS109+BS11-BS133-BS108-BS234)</f>
        <v>2.7917835492025143</v>
      </c>
      <c r="BT278" s="784">
        <f t="shared" si="2"/>
        <v>0.91716067054490313</v>
      </c>
      <c r="BU278" s="784">
        <f t="shared" si="2"/>
        <v>2.048470269647384</v>
      </c>
      <c r="BV278" s="784">
        <f t="shared" si="2"/>
        <v>2.8890567553224549</v>
      </c>
      <c r="BW278" s="784">
        <f t="shared" si="2"/>
        <v>1.3415552923340568</v>
      </c>
      <c r="BX278" s="784">
        <f t="shared" si="2"/>
        <v>0.37246040596594199</v>
      </c>
      <c r="BY278" s="784">
        <f t="shared" si="2"/>
        <v>0.5059885071002852</v>
      </c>
      <c r="BZ278" s="784">
        <f t="shared" si="2"/>
        <v>0.61082383594555745</v>
      </c>
      <c r="CA278" s="784">
        <f t="shared" si="2"/>
        <v>0.33815083392674183</v>
      </c>
      <c r="CB278" s="784">
        <f t="shared" si="2"/>
        <v>2.0258166447968149</v>
      </c>
      <c r="CC278" s="784">
        <f t="shared" si="2"/>
        <v>0.56956096191995553</v>
      </c>
      <c r="CD278" s="784">
        <f t="shared" si="2"/>
        <v>0.81538223927430298</v>
      </c>
    </row>
    <row r="279" spans="1:104" s="566" customFormat="1" ht="25.2" customHeight="1" x14ac:dyDescent="0.3">
      <c r="A279" s="565" t="s">
        <v>1881</v>
      </c>
      <c r="B279" s="566" t="s">
        <v>1882</v>
      </c>
      <c r="D279" s="970" t="e">
        <f t="shared" ref="D279:AI279" si="3">1-((D123+D124+D125+D126)/(D115+D116+D117+D118))</f>
        <v>#DIV/0!</v>
      </c>
      <c r="E279" s="970">
        <f t="shared" si="3"/>
        <v>0.51390554171590175</v>
      </c>
      <c r="F279" s="970" t="e">
        <f t="shared" si="3"/>
        <v>#DIV/0!</v>
      </c>
      <c r="G279" s="970">
        <f t="shared" si="3"/>
        <v>0.48988352292919024</v>
      </c>
      <c r="H279" s="970">
        <f t="shared" si="3"/>
        <v>0.52333655437316551</v>
      </c>
      <c r="I279" s="970">
        <f t="shared" si="3"/>
        <v>0.25156411744226526</v>
      </c>
      <c r="J279" s="970" t="e">
        <f t="shared" si="3"/>
        <v>#DIV/0!</v>
      </c>
      <c r="K279" s="970">
        <f t="shared" si="3"/>
        <v>0.66716344255503968</v>
      </c>
      <c r="L279" s="970">
        <f t="shared" si="3"/>
        <v>0.63725878842596828</v>
      </c>
      <c r="M279" s="970" t="e">
        <f t="shared" si="3"/>
        <v>#DIV/0!</v>
      </c>
      <c r="N279" s="970" t="e">
        <f t="shared" si="3"/>
        <v>#DIV/0!</v>
      </c>
      <c r="O279" s="970" t="e">
        <f t="shared" si="3"/>
        <v>#DIV/0!</v>
      </c>
      <c r="P279" s="970">
        <f t="shared" si="3"/>
        <v>0.85668333283731635</v>
      </c>
      <c r="Q279" s="970">
        <f t="shared" si="3"/>
        <v>0.51739496231454285</v>
      </c>
      <c r="R279" s="970" t="e">
        <f t="shared" si="3"/>
        <v>#DIV/0!</v>
      </c>
      <c r="S279" s="970">
        <f t="shared" si="3"/>
        <v>0.52594949712634897</v>
      </c>
      <c r="T279" s="970">
        <f t="shared" si="3"/>
        <v>0.42731339448771866</v>
      </c>
      <c r="U279" s="970">
        <f t="shared" si="3"/>
        <v>0.32398194344109321</v>
      </c>
      <c r="V279" s="970">
        <f t="shared" si="3"/>
        <v>0.60871631753955469</v>
      </c>
      <c r="W279" s="970" t="e">
        <f t="shared" si="3"/>
        <v>#DIV/0!</v>
      </c>
      <c r="X279" s="970">
        <f t="shared" si="3"/>
        <v>0.49373563673825183</v>
      </c>
      <c r="Y279" s="970">
        <f t="shared" si="3"/>
        <v>0.58242308448071922</v>
      </c>
      <c r="Z279" s="970">
        <f t="shared" si="3"/>
        <v>0.67483837914173517</v>
      </c>
      <c r="AA279" s="970">
        <f t="shared" si="3"/>
        <v>0.50617296828341707</v>
      </c>
      <c r="AB279" s="970">
        <f t="shared" si="3"/>
        <v>0.65220535959043069</v>
      </c>
      <c r="AC279" s="970" t="e">
        <f t="shared" si="3"/>
        <v>#DIV/0!</v>
      </c>
      <c r="AD279" s="970" t="e">
        <f t="shared" si="3"/>
        <v>#DIV/0!</v>
      </c>
      <c r="AE279" s="970" t="e">
        <f t="shared" si="3"/>
        <v>#DIV/0!</v>
      </c>
      <c r="AF279" s="970">
        <f t="shared" si="3"/>
        <v>0.58704560357749314</v>
      </c>
      <c r="AG279" s="970" t="e">
        <f t="shared" si="3"/>
        <v>#DIV/0!</v>
      </c>
      <c r="AH279" s="970">
        <f t="shared" si="3"/>
        <v>0.28890600702346991</v>
      </c>
      <c r="AI279" s="970">
        <f t="shared" si="3"/>
        <v>0.48298692833417256</v>
      </c>
      <c r="AJ279" s="970">
        <f t="shared" ref="AJ279:BR279" si="4">1-((AJ123+AJ124+AJ125+AJ126)/(AJ115+AJ116+AJ117+AJ118))</f>
        <v>0.43104701464181516</v>
      </c>
      <c r="AK279" s="970">
        <f t="shared" si="4"/>
        <v>0.39506971342893049</v>
      </c>
      <c r="AL279" s="970">
        <f t="shared" si="4"/>
        <v>0.35814407781003121</v>
      </c>
      <c r="AM279" s="970">
        <f t="shared" si="4"/>
        <v>0.82806866331208484</v>
      </c>
      <c r="AN279" s="970">
        <f t="shared" si="4"/>
        <v>0.59294164720071629</v>
      </c>
      <c r="AO279" s="970" t="e">
        <f t="shared" si="4"/>
        <v>#DIV/0!</v>
      </c>
      <c r="AP279" s="970">
        <f t="shared" si="4"/>
        <v>0.41032720207230711</v>
      </c>
      <c r="AQ279" s="970" t="e">
        <f t="shared" si="4"/>
        <v>#DIV/0!</v>
      </c>
      <c r="AR279" s="970" t="e">
        <f t="shared" si="4"/>
        <v>#DIV/0!</v>
      </c>
      <c r="AS279" s="970">
        <f t="shared" si="4"/>
        <v>0.65090675501758732</v>
      </c>
      <c r="AT279" s="970">
        <f t="shared" si="4"/>
        <v>0.67675682999099285</v>
      </c>
      <c r="AU279" s="970">
        <f t="shared" si="4"/>
        <v>0.5385754107423153</v>
      </c>
      <c r="AV279" s="970">
        <f t="shared" si="4"/>
        <v>0.56936486912797268</v>
      </c>
      <c r="AW279" s="970">
        <f t="shared" si="4"/>
        <v>0.52664462825350977</v>
      </c>
      <c r="AX279" s="970">
        <f t="shared" si="4"/>
        <v>0.43861069443892842</v>
      </c>
      <c r="AY279" s="970">
        <f t="shared" si="4"/>
        <v>0.36863701279834449</v>
      </c>
      <c r="AZ279" s="970" t="e">
        <f t="shared" si="4"/>
        <v>#DIV/0!</v>
      </c>
      <c r="BA279" s="970">
        <f t="shared" si="4"/>
        <v>0.50731809561038077</v>
      </c>
      <c r="BB279" s="970">
        <f t="shared" si="4"/>
        <v>0.1477135578240707</v>
      </c>
      <c r="BC279" s="970">
        <f t="shared" si="4"/>
        <v>0.59909923778379426</v>
      </c>
      <c r="BD279" s="970" t="e">
        <f t="shared" si="4"/>
        <v>#DIV/0!</v>
      </c>
      <c r="BE279" s="970">
        <f t="shared" si="4"/>
        <v>0.35854106411166253</v>
      </c>
      <c r="BF279" s="970">
        <f t="shared" si="4"/>
        <v>0.63805428614627102</v>
      </c>
      <c r="BG279" s="970" t="e">
        <f t="shared" si="4"/>
        <v>#DIV/0!</v>
      </c>
      <c r="BH279" s="970">
        <f t="shared" si="4"/>
        <v>0.44061929991279492</v>
      </c>
      <c r="BI279" s="970">
        <f t="shared" si="4"/>
        <v>0.38460929636173025</v>
      </c>
      <c r="BJ279" s="970" t="e">
        <f t="shared" si="4"/>
        <v>#DIV/0!</v>
      </c>
      <c r="BK279" s="970" t="e">
        <f t="shared" si="4"/>
        <v>#DIV/0!</v>
      </c>
      <c r="BL279" s="970">
        <f t="shared" si="4"/>
        <v>0.54317777423318969</v>
      </c>
      <c r="BM279" s="970">
        <f t="shared" si="4"/>
        <v>0.53795401513306729</v>
      </c>
      <c r="BN279" s="970">
        <f t="shared" si="4"/>
        <v>0.41406974654172335</v>
      </c>
      <c r="BO279" s="970">
        <f t="shared" si="4"/>
        <v>0.50055530740416909</v>
      </c>
      <c r="BP279" s="970">
        <f t="shared" si="4"/>
        <v>0.50467387014066034</v>
      </c>
      <c r="BQ279" s="970">
        <f t="shared" si="4"/>
        <v>0.8053755755533889</v>
      </c>
      <c r="BR279" s="970">
        <f t="shared" si="4"/>
        <v>0.62880361793516748</v>
      </c>
      <c r="BS279" s="970" t="e">
        <f t="shared" ref="BS279:CD279" si="5">1-((BS123+BS124+BS125+BS126)/(BS115+BS116+BS117+BS118))</f>
        <v>#DIV/0!</v>
      </c>
      <c r="BT279" s="970">
        <f t="shared" si="5"/>
        <v>0.6354434957653281</v>
      </c>
      <c r="BU279" s="970">
        <f t="shared" si="5"/>
        <v>0.42443171325581341</v>
      </c>
      <c r="BV279" s="970">
        <f t="shared" si="5"/>
        <v>0.95285592001710673</v>
      </c>
      <c r="BW279" s="970">
        <f t="shared" si="5"/>
        <v>0.65534432058387948</v>
      </c>
      <c r="BX279" s="970" t="e">
        <f t="shared" si="5"/>
        <v>#DIV/0!</v>
      </c>
      <c r="BY279" s="970">
        <f t="shared" si="5"/>
        <v>0.67459768503194328</v>
      </c>
      <c r="BZ279" s="970">
        <f t="shared" si="5"/>
        <v>0.72709742671137167</v>
      </c>
      <c r="CA279" s="970" t="e">
        <f t="shared" si="5"/>
        <v>#DIV/0!</v>
      </c>
      <c r="CB279" s="970">
        <f t="shared" si="5"/>
        <v>0.48172588440898678</v>
      </c>
      <c r="CC279" s="970" t="e">
        <f t="shared" si="5"/>
        <v>#DIV/0!</v>
      </c>
      <c r="CD279" s="970" t="e">
        <f t="shared" si="5"/>
        <v>#DIV/0!</v>
      </c>
    </row>
    <row r="280" spans="1:104" s="180" customFormat="1" x14ac:dyDescent="0.3">
      <c r="A280" s="155"/>
    </row>
    <row r="281" spans="1:104" s="180" customFormat="1" x14ac:dyDescent="0.3">
      <c r="A281" s="155"/>
    </row>
    <row r="282" spans="1:104" s="180" customFormat="1" x14ac:dyDescent="0.3">
      <c r="A282" s="155"/>
    </row>
    <row r="283" spans="1:104" s="180" customFormat="1" x14ac:dyDescent="0.3">
      <c r="A283" s="155"/>
    </row>
    <row r="284" spans="1:104" s="180" customFormat="1" x14ac:dyDescent="0.3">
      <c r="A284" s="155"/>
    </row>
    <row r="285" spans="1:104" x14ac:dyDescent="0.3">
      <c r="A285" s="552">
        <f>A201</f>
        <v>906</v>
      </c>
      <c r="B285" s="552" t="str">
        <f t="shared" ref="B285:BM285" si="6">B201</f>
        <v>TD-Was a Unmodified Audit Opinion issued?</v>
      </c>
      <c r="C285" s="552">
        <f t="shared" si="6"/>
        <v>0</v>
      </c>
      <c r="D285" s="552">
        <f t="shared" si="6"/>
        <v>0</v>
      </c>
      <c r="E285" s="552">
        <f t="shared" si="6"/>
        <v>1</v>
      </c>
      <c r="F285" s="552">
        <f t="shared" si="6"/>
        <v>1</v>
      </c>
      <c r="G285" s="552">
        <f t="shared" si="6"/>
        <v>1</v>
      </c>
      <c r="H285" s="552">
        <f t="shared" si="6"/>
        <v>1</v>
      </c>
      <c r="I285" s="552">
        <f t="shared" si="6"/>
        <v>1</v>
      </c>
      <c r="J285" s="552">
        <f t="shared" si="6"/>
        <v>1</v>
      </c>
      <c r="K285" s="552">
        <f t="shared" si="6"/>
        <v>1</v>
      </c>
      <c r="L285" s="552">
        <f t="shared" si="6"/>
        <v>1</v>
      </c>
      <c r="M285" s="552">
        <f t="shared" si="6"/>
        <v>1</v>
      </c>
      <c r="N285" s="552">
        <f t="shared" si="6"/>
        <v>1</v>
      </c>
      <c r="O285" s="552">
        <f t="shared" si="6"/>
        <v>1</v>
      </c>
      <c r="P285" s="552">
        <f t="shared" si="6"/>
        <v>1</v>
      </c>
      <c r="Q285" s="552">
        <f t="shared" si="6"/>
        <v>1</v>
      </c>
      <c r="R285" s="552">
        <f t="shared" si="6"/>
        <v>1</v>
      </c>
      <c r="S285" s="552">
        <f t="shared" si="6"/>
        <v>1</v>
      </c>
      <c r="T285" s="552">
        <f t="shared" si="6"/>
        <v>1</v>
      </c>
      <c r="U285" s="552">
        <f t="shared" si="6"/>
        <v>1</v>
      </c>
      <c r="V285" s="552">
        <f t="shared" si="6"/>
        <v>1</v>
      </c>
      <c r="W285" s="552">
        <f t="shared" si="6"/>
        <v>1</v>
      </c>
      <c r="X285" s="552">
        <f t="shared" si="6"/>
        <v>1</v>
      </c>
      <c r="Y285" s="552">
        <f t="shared" si="6"/>
        <v>1</v>
      </c>
      <c r="Z285" s="552">
        <f t="shared" si="6"/>
        <v>1</v>
      </c>
      <c r="AA285" s="552">
        <f t="shared" si="6"/>
        <v>1</v>
      </c>
      <c r="AB285" s="552">
        <f t="shared" si="6"/>
        <v>1</v>
      </c>
      <c r="AC285" s="552">
        <f t="shared" si="6"/>
        <v>1</v>
      </c>
      <c r="AD285" s="552">
        <f t="shared" si="6"/>
        <v>1</v>
      </c>
      <c r="AE285" s="552">
        <f t="shared" si="6"/>
        <v>0</v>
      </c>
      <c r="AF285" s="552">
        <f t="shared" si="6"/>
        <v>1</v>
      </c>
      <c r="AG285" s="552">
        <f t="shared" si="6"/>
        <v>1</v>
      </c>
      <c r="AH285" s="552">
        <f t="shared" si="6"/>
        <v>1</v>
      </c>
      <c r="AI285" s="552">
        <f t="shared" si="6"/>
        <v>1</v>
      </c>
      <c r="AJ285" s="552">
        <f t="shared" si="6"/>
        <v>1</v>
      </c>
      <c r="AK285" s="552">
        <f t="shared" si="6"/>
        <v>1</v>
      </c>
      <c r="AL285" s="552">
        <f t="shared" si="6"/>
        <v>1</v>
      </c>
      <c r="AM285" s="552">
        <f t="shared" si="6"/>
        <v>1</v>
      </c>
      <c r="AN285" s="552">
        <f t="shared" si="6"/>
        <v>1</v>
      </c>
      <c r="AO285" s="552">
        <f t="shared" si="6"/>
        <v>1</v>
      </c>
      <c r="AP285" s="552">
        <f t="shared" si="6"/>
        <v>1</v>
      </c>
      <c r="AQ285" s="552">
        <f t="shared" si="6"/>
        <v>1</v>
      </c>
      <c r="AR285" s="552">
        <f t="shared" si="6"/>
        <v>1</v>
      </c>
      <c r="AS285" s="552">
        <f t="shared" si="6"/>
        <v>1</v>
      </c>
      <c r="AT285" s="552">
        <f t="shared" si="6"/>
        <v>1</v>
      </c>
      <c r="AU285" s="552">
        <f t="shared" si="6"/>
        <v>1</v>
      </c>
      <c r="AV285" s="552">
        <f t="shared" si="6"/>
        <v>1</v>
      </c>
      <c r="AW285" s="552">
        <f t="shared" si="6"/>
        <v>1</v>
      </c>
      <c r="AX285" s="552">
        <f t="shared" si="6"/>
        <v>1</v>
      </c>
      <c r="AY285" s="552">
        <f t="shared" si="6"/>
        <v>1</v>
      </c>
      <c r="AZ285" s="552">
        <f t="shared" si="6"/>
        <v>0</v>
      </c>
      <c r="BA285" s="552">
        <f t="shared" si="6"/>
        <v>1</v>
      </c>
      <c r="BB285" s="552">
        <f t="shared" si="6"/>
        <v>1</v>
      </c>
      <c r="BC285" s="552">
        <f t="shared" si="6"/>
        <v>1</v>
      </c>
      <c r="BD285" s="552">
        <f t="shared" si="6"/>
        <v>1</v>
      </c>
      <c r="BE285" s="552">
        <f t="shared" si="6"/>
        <v>1</v>
      </c>
      <c r="BF285" s="552">
        <f t="shared" si="6"/>
        <v>1</v>
      </c>
      <c r="BG285" s="552">
        <f t="shared" si="6"/>
        <v>1</v>
      </c>
      <c r="BH285" s="552">
        <f t="shared" si="6"/>
        <v>1</v>
      </c>
      <c r="BI285" s="552">
        <f t="shared" si="6"/>
        <v>1</v>
      </c>
      <c r="BJ285" s="552">
        <f t="shared" si="6"/>
        <v>1</v>
      </c>
      <c r="BK285" s="552">
        <f t="shared" si="6"/>
        <v>1</v>
      </c>
      <c r="BL285" s="552">
        <f t="shared" si="6"/>
        <v>1</v>
      </c>
      <c r="BM285" s="552">
        <f t="shared" si="6"/>
        <v>1</v>
      </c>
      <c r="BN285" s="552">
        <f t="shared" ref="BN285:BR285" si="7">BN201</f>
        <v>1</v>
      </c>
      <c r="BO285" s="552">
        <f t="shared" si="7"/>
        <v>1</v>
      </c>
      <c r="BP285" s="552">
        <f t="shared" si="7"/>
        <v>1</v>
      </c>
      <c r="BQ285" s="552">
        <f t="shared" si="7"/>
        <v>1</v>
      </c>
      <c r="BR285" s="552">
        <f t="shared" si="7"/>
        <v>1</v>
      </c>
      <c r="BS285" s="552">
        <f t="shared" ref="BS285:CD285" si="8">BS201</f>
        <v>1</v>
      </c>
      <c r="BT285" s="552">
        <f t="shared" si="8"/>
        <v>1</v>
      </c>
      <c r="BU285" s="552">
        <f t="shared" si="8"/>
        <v>1</v>
      </c>
      <c r="BV285" s="552">
        <f t="shared" si="8"/>
        <v>1</v>
      </c>
      <c r="BW285" s="552">
        <f t="shared" si="8"/>
        <v>1</v>
      </c>
      <c r="BX285" s="552">
        <f t="shared" si="8"/>
        <v>1</v>
      </c>
      <c r="BY285" s="552">
        <f t="shared" si="8"/>
        <v>1</v>
      </c>
      <c r="BZ285" s="552">
        <f t="shared" si="8"/>
        <v>1</v>
      </c>
      <c r="CA285" s="552">
        <f t="shared" si="8"/>
        <v>1</v>
      </c>
      <c r="CB285" s="552">
        <f t="shared" si="8"/>
        <v>1</v>
      </c>
      <c r="CC285" s="552">
        <f t="shared" si="8"/>
        <v>1</v>
      </c>
      <c r="CD285" s="552">
        <f t="shared" si="8"/>
        <v>1</v>
      </c>
      <c r="CE285" s="180"/>
      <c r="CF285" s="180"/>
      <c r="CG285" s="180"/>
      <c r="CH285" s="180"/>
      <c r="CI285" s="180"/>
      <c r="CJ285" s="180"/>
      <c r="CK285" s="180"/>
      <c r="CL285" s="180"/>
      <c r="CM285" s="180"/>
      <c r="CN285" s="180"/>
      <c r="CO285" s="180"/>
      <c r="CP285" s="180"/>
      <c r="CQ285" s="180"/>
      <c r="CR285" s="180"/>
      <c r="CS285" s="180"/>
      <c r="CT285" s="180"/>
      <c r="CU285" s="180"/>
      <c r="CV285" s="180"/>
      <c r="CW285" s="180"/>
      <c r="CX285" s="180"/>
      <c r="CY285" s="180"/>
      <c r="CZ285" s="180"/>
    </row>
    <row r="286" spans="1:104" x14ac:dyDescent="0.3">
      <c r="A286" s="552">
        <f>A202</f>
        <v>907</v>
      </c>
      <c r="B286" s="552" t="str">
        <f t="shared" ref="B286:BM286" si="9">B202</f>
        <v>TD-Was there a finding for lack of segregation of duties at this unit?</v>
      </c>
      <c r="C286" s="552">
        <f t="shared" si="9"/>
        <v>0</v>
      </c>
      <c r="D286" s="552">
        <f t="shared" si="9"/>
        <v>0</v>
      </c>
      <c r="E286" s="552">
        <f t="shared" si="9"/>
        <v>2</v>
      </c>
      <c r="F286" s="552">
        <f t="shared" si="9"/>
        <v>1</v>
      </c>
      <c r="G286" s="552">
        <f t="shared" si="9"/>
        <v>2</v>
      </c>
      <c r="H286" s="552">
        <f t="shared" si="9"/>
        <v>1</v>
      </c>
      <c r="I286" s="552">
        <f t="shared" si="9"/>
        <v>2</v>
      </c>
      <c r="J286" s="552">
        <f t="shared" si="9"/>
        <v>1</v>
      </c>
      <c r="K286" s="552">
        <f t="shared" si="9"/>
        <v>2</v>
      </c>
      <c r="L286" s="552">
        <f t="shared" si="9"/>
        <v>2</v>
      </c>
      <c r="M286" s="552">
        <f t="shared" si="9"/>
        <v>2</v>
      </c>
      <c r="N286" s="552">
        <f t="shared" si="9"/>
        <v>2</v>
      </c>
      <c r="O286" s="552">
        <f t="shared" si="9"/>
        <v>2</v>
      </c>
      <c r="P286" s="552">
        <f t="shared" si="9"/>
        <v>2</v>
      </c>
      <c r="Q286" s="552">
        <f t="shared" si="9"/>
        <v>2</v>
      </c>
      <c r="R286" s="552">
        <f t="shared" si="9"/>
        <v>1</v>
      </c>
      <c r="S286" s="552">
        <f t="shared" si="9"/>
        <v>2</v>
      </c>
      <c r="T286" s="552">
        <f t="shared" si="9"/>
        <v>2</v>
      </c>
      <c r="U286" s="552">
        <f t="shared" si="9"/>
        <v>1</v>
      </c>
      <c r="V286" s="552">
        <f t="shared" si="9"/>
        <v>2</v>
      </c>
      <c r="W286" s="552">
        <f t="shared" si="9"/>
        <v>2</v>
      </c>
      <c r="X286" s="552">
        <f t="shared" si="9"/>
        <v>2</v>
      </c>
      <c r="Y286" s="552">
        <f t="shared" si="9"/>
        <v>1</v>
      </c>
      <c r="Z286" s="552">
        <f t="shared" si="9"/>
        <v>2</v>
      </c>
      <c r="AA286" s="552">
        <f t="shared" si="9"/>
        <v>1</v>
      </c>
      <c r="AB286" s="552">
        <f t="shared" si="9"/>
        <v>2</v>
      </c>
      <c r="AC286" s="552">
        <f t="shared" si="9"/>
        <v>2</v>
      </c>
      <c r="AD286" s="552">
        <f t="shared" si="9"/>
        <v>1</v>
      </c>
      <c r="AE286" s="552">
        <f t="shared" si="9"/>
        <v>0</v>
      </c>
      <c r="AF286" s="552">
        <f t="shared" si="9"/>
        <v>2</v>
      </c>
      <c r="AG286" s="552">
        <f t="shared" si="9"/>
        <v>1</v>
      </c>
      <c r="AH286" s="552">
        <f t="shared" si="9"/>
        <v>2</v>
      </c>
      <c r="AI286" s="552">
        <f t="shared" si="9"/>
        <v>2</v>
      </c>
      <c r="AJ286" s="552">
        <f t="shared" si="9"/>
        <v>1</v>
      </c>
      <c r="AK286" s="552">
        <f t="shared" si="9"/>
        <v>1</v>
      </c>
      <c r="AL286" s="552">
        <f t="shared" si="9"/>
        <v>2</v>
      </c>
      <c r="AM286" s="552">
        <f t="shared" si="9"/>
        <v>1</v>
      </c>
      <c r="AN286" s="552">
        <f t="shared" si="9"/>
        <v>2</v>
      </c>
      <c r="AO286" s="552">
        <f t="shared" si="9"/>
        <v>2</v>
      </c>
      <c r="AP286" s="552">
        <f t="shared" si="9"/>
        <v>2</v>
      </c>
      <c r="AQ286" s="552">
        <f t="shared" si="9"/>
        <v>2</v>
      </c>
      <c r="AR286" s="552">
        <f t="shared" si="9"/>
        <v>2</v>
      </c>
      <c r="AS286" s="552">
        <f t="shared" si="9"/>
        <v>2</v>
      </c>
      <c r="AT286" s="552">
        <f t="shared" si="9"/>
        <v>1</v>
      </c>
      <c r="AU286" s="552">
        <f t="shared" si="9"/>
        <v>2</v>
      </c>
      <c r="AV286" s="552">
        <f t="shared" si="9"/>
        <v>2</v>
      </c>
      <c r="AW286" s="552">
        <f t="shared" si="9"/>
        <v>2</v>
      </c>
      <c r="AX286" s="552">
        <f t="shared" si="9"/>
        <v>2</v>
      </c>
      <c r="AY286" s="552">
        <f t="shared" si="9"/>
        <v>2</v>
      </c>
      <c r="AZ286" s="552">
        <f t="shared" si="9"/>
        <v>0</v>
      </c>
      <c r="BA286" s="552">
        <f t="shared" si="9"/>
        <v>2</v>
      </c>
      <c r="BB286" s="552">
        <f t="shared" si="9"/>
        <v>2</v>
      </c>
      <c r="BC286" s="552">
        <f t="shared" si="9"/>
        <v>1</v>
      </c>
      <c r="BD286" s="552">
        <f t="shared" si="9"/>
        <v>1</v>
      </c>
      <c r="BE286" s="552">
        <f t="shared" si="9"/>
        <v>1</v>
      </c>
      <c r="BF286" s="552">
        <f t="shared" si="9"/>
        <v>2</v>
      </c>
      <c r="BG286" s="552">
        <f t="shared" si="9"/>
        <v>2</v>
      </c>
      <c r="BH286" s="552">
        <f t="shared" si="9"/>
        <v>2</v>
      </c>
      <c r="BI286" s="552">
        <f t="shared" si="9"/>
        <v>1</v>
      </c>
      <c r="BJ286" s="552">
        <f t="shared" si="9"/>
        <v>2</v>
      </c>
      <c r="BK286" s="552">
        <f t="shared" si="9"/>
        <v>1</v>
      </c>
      <c r="BL286" s="552">
        <f t="shared" si="9"/>
        <v>2</v>
      </c>
      <c r="BM286" s="552">
        <f t="shared" si="9"/>
        <v>2</v>
      </c>
      <c r="BN286" s="552">
        <f t="shared" ref="BN286:BR286" si="10">BN202</f>
        <v>2</v>
      </c>
      <c r="BO286" s="552">
        <f t="shared" si="10"/>
        <v>2</v>
      </c>
      <c r="BP286" s="552">
        <f t="shared" si="10"/>
        <v>2</v>
      </c>
      <c r="BQ286" s="552">
        <f t="shared" si="10"/>
        <v>1</v>
      </c>
      <c r="BR286" s="552">
        <f t="shared" si="10"/>
        <v>2</v>
      </c>
      <c r="BS286" s="552">
        <f t="shared" ref="BS286:CD286" si="11">BS202</f>
        <v>1</v>
      </c>
      <c r="BT286" s="552">
        <f t="shared" si="11"/>
        <v>2</v>
      </c>
      <c r="BU286" s="552">
        <f t="shared" si="11"/>
        <v>1</v>
      </c>
      <c r="BV286" s="552">
        <f t="shared" si="11"/>
        <v>2</v>
      </c>
      <c r="BW286" s="552">
        <f t="shared" si="11"/>
        <v>2</v>
      </c>
      <c r="BX286" s="552">
        <f t="shared" si="11"/>
        <v>1</v>
      </c>
      <c r="BY286" s="552">
        <f t="shared" si="11"/>
        <v>2</v>
      </c>
      <c r="BZ286" s="552">
        <f t="shared" si="11"/>
        <v>1</v>
      </c>
      <c r="CA286" s="552">
        <f t="shared" si="11"/>
        <v>2</v>
      </c>
      <c r="CB286" s="552">
        <f t="shared" si="11"/>
        <v>1</v>
      </c>
      <c r="CC286" s="552">
        <f t="shared" si="11"/>
        <v>2</v>
      </c>
      <c r="CD286" s="552">
        <f t="shared" si="11"/>
        <v>2</v>
      </c>
      <c r="CE286" s="180"/>
      <c r="CF286" s="180"/>
      <c r="CG286" s="180"/>
      <c r="CH286" s="180"/>
      <c r="CI286" s="180"/>
      <c r="CJ286" s="180"/>
      <c r="CK286" s="180"/>
      <c r="CL286" s="180"/>
      <c r="CM286" s="180"/>
      <c r="CN286" s="180"/>
      <c r="CO286" s="180"/>
      <c r="CP286" s="180"/>
      <c r="CQ286" s="180"/>
      <c r="CR286" s="180"/>
      <c r="CS286" s="180"/>
      <c r="CT286" s="180"/>
      <c r="CU286" s="180"/>
      <c r="CV286" s="180"/>
      <c r="CW286" s="180"/>
      <c r="CX286" s="180"/>
      <c r="CY286" s="180"/>
      <c r="CZ286" s="180"/>
    </row>
    <row r="287" spans="1:104" x14ac:dyDescent="0.3">
      <c r="A287" s="552">
        <f>A239</f>
        <v>1055</v>
      </c>
      <c r="B287" s="552" t="str">
        <f t="shared" ref="B287:BM287" si="12">B239</f>
        <v>Did your audit disclose as a finding bank reconciliations or subsidiary ledger reconciliations not performed timely? (Yes or No)</v>
      </c>
      <c r="C287" s="552">
        <f t="shared" si="12"/>
        <v>0</v>
      </c>
      <c r="D287" s="552">
        <f t="shared" si="12"/>
        <v>0</v>
      </c>
      <c r="E287" s="552">
        <f t="shared" si="12"/>
        <v>2</v>
      </c>
      <c r="F287" s="552">
        <f t="shared" si="12"/>
        <v>2</v>
      </c>
      <c r="G287" s="552">
        <f t="shared" si="12"/>
        <v>2</v>
      </c>
      <c r="H287" s="552">
        <f t="shared" si="12"/>
        <v>2</v>
      </c>
      <c r="I287" s="552">
        <f t="shared" si="12"/>
        <v>2</v>
      </c>
      <c r="J287" s="552">
        <f t="shared" si="12"/>
        <v>2</v>
      </c>
      <c r="K287" s="552">
        <f t="shared" si="12"/>
        <v>2</v>
      </c>
      <c r="L287" s="552">
        <f t="shared" si="12"/>
        <v>2</v>
      </c>
      <c r="M287" s="552">
        <f t="shared" si="12"/>
        <v>2</v>
      </c>
      <c r="N287" s="552">
        <f t="shared" si="12"/>
        <v>2</v>
      </c>
      <c r="O287" s="552">
        <f t="shared" si="12"/>
        <v>2</v>
      </c>
      <c r="P287" s="552">
        <f t="shared" si="12"/>
        <v>2</v>
      </c>
      <c r="Q287" s="552">
        <f t="shared" si="12"/>
        <v>2</v>
      </c>
      <c r="R287" s="552">
        <f t="shared" si="12"/>
        <v>2</v>
      </c>
      <c r="S287" s="552">
        <f t="shared" si="12"/>
        <v>1</v>
      </c>
      <c r="T287" s="552">
        <f t="shared" si="12"/>
        <v>2</v>
      </c>
      <c r="U287" s="552">
        <f t="shared" si="12"/>
        <v>2</v>
      </c>
      <c r="V287" s="552">
        <f t="shared" si="12"/>
        <v>2</v>
      </c>
      <c r="W287" s="552">
        <f t="shared" si="12"/>
        <v>2</v>
      </c>
      <c r="X287" s="552">
        <f t="shared" si="12"/>
        <v>2</v>
      </c>
      <c r="Y287" s="552">
        <f t="shared" si="12"/>
        <v>2</v>
      </c>
      <c r="Z287" s="552">
        <f t="shared" si="12"/>
        <v>2</v>
      </c>
      <c r="AA287" s="552">
        <f t="shared" si="12"/>
        <v>2</v>
      </c>
      <c r="AB287" s="552">
        <f t="shared" si="12"/>
        <v>2</v>
      </c>
      <c r="AC287" s="552">
        <f t="shared" si="12"/>
        <v>2</v>
      </c>
      <c r="AD287" s="552">
        <f t="shared" si="12"/>
        <v>2</v>
      </c>
      <c r="AE287" s="552">
        <f t="shared" si="12"/>
        <v>0</v>
      </c>
      <c r="AF287" s="552">
        <f t="shared" si="12"/>
        <v>2</v>
      </c>
      <c r="AG287" s="552">
        <f t="shared" si="12"/>
        <v>2</v>
      </c>
      <c r="AH287" s="552">
        <f t="shared" si="12"/>
        <v>1</v>
      </c>
      <c r="AI287" s="552">
        <f t="shared" si="12"/>
        <v>2</v>
      </c>
      <c r="AJ287" s="552">
        <f t="shared" si="12"/>
        <v>2</v>
      </c>
      <c r="AK287" s="552">
        <f t="shared" si="12"/>
        <v>1</v>
      </c>
      <c r="AL287" s="552">
        <f t="shared" si="12"/>
        <v>2</v>
      </c>
      <c r="AM287" s="552">
        <f t="shared" si="12"/>
        <v>2</v>
      </c>
      <c r="AN287" s="552">
        <f t="shared" si="12"/>
        <v>2</v>
      </c>
      <c r="AO287" s="552">
        <f t="shared" si="12"/>
        <v>2</v>
      </c>
      <c r="AP287" s="552">
        <f t="shared" si="12"/>
        <v>2</v>
      </c>
      <c r="AQ287" s="552">
        <f t="shared" si="12"/>
        <v>2</v>
      </c>
      <c r="AR287" s="552">
        <f t="shared" si="12"/>
        <v>2</v>
      </c>
      <c r="AS287" s="552">
        <f t="shared" si="12"/>
        <v>2</v>
      </c>
      <c r="AT287" s="552">
        <f t="shared" si="12"/>
        <v>2</v>
      </c>
      <c r="AU287" s="552">
        <f t="shared" si="12"/>
        <v>2</v>
      </c>
      <c r="AV287" s="552">
        <f t="shared" si="12"/>
        <v>2</v>
      </c>
      <c r="AW287" s="552">
        <f t="shared" si="12"/>
        <v>2</v>
      </c>
      <c r="AX287" s="552">
        <f t="shared" si="12"/>
        <v>1</v>
      </c>
      <c r="AY287" s="552">
        <f t="shared" si="12"/>
        <v>2</v>
      </c>
      <c r="AZ287" s="552">
        <f t="shared" si="12"/>
        <v>0</v>
      </c>
      <c r="BA287" s="552">
        <f t="shared" si="12"/>
        <v>2</v>
      </c>
      <c r="BB287" s="552">
        <f t="shared" si="12"/>
        <v>2</v>
      </c>
      <c r="BC287" s="552">
        <f t="shared" si="12"/>
        <v>2</v>
      </c>
      <c r="BD287" s="552">
        <f t="shared" si="12"/>
        <v>1</v>
      </c>
      <c r="BE287" s="552">
        <f t="shared" si="12"/>
        <v>2</v>
      </c>
      <c r="BF287" s="552">
        <f t="shared" si="12"/>
        <v>2</v>
      </c>
      <c r="BG287" s="552">
        <f t="shared" si="12"/>
        <v>2</v>
      </c>
      <c r="BH287" s="552">
        <f t="shared" si="12"/>
        <v>2</v>
      </c>
      <c r="BI287" s="552">
        <f t="shared" si="12"/>
        <v>1</v>
      </c>
      <c r="BJ287" s="552">
        <f t="shared" si="12"/>
        <v>2</v>
      </c>
      <c r="BK287" s="552">
        <f t="shared" si="12"/>
        <v>2</v>
      </c>
      <c r="BL287" s="552">
        <f t="shared" si="12"/>
        <v>2</v>
      </c>
      <c r="BM287" s="552">
        <f t="shared" si="12"/>
        <v>2</v>
      </c>
      <c r="BN287" s="552">
        <f t="shared" ref="BN287:BR287" si="13">BN239</f>
        <v>2</v>
      </c>
      <c r="BO287" s="552">
        <f t="shared" si="13"/>
        <v>1</v>
      </c>
      <c r="BP287" s="552">
        <f t="shared" si="13"/>
        <v>2</v>
      </c>
      <c r="BQ287" s="552">
        <f t="shared" si="13"/>
        <v>2</v>
      </c>
      <c r="BR287" s="552">
        <f t="shared" si="13"/>
        <v>2</v>
      </c>
      <c r="BS287" s="552">
        <f t="shared" ref="BS287:CD287" si="14">BS239</f>
        <v>2</v>
      </c>
      <c r="BT287" s="552">
        <f t="shared" si="14"/>
        <v>2</v>
      </c>
      <c r="BU287" s="552">
        <f t="shared" si="14"/>
        <v>2</v>
      </c>
      <c r="BV287" s="552">
        <f t="shared" si="14"/>
        <v>2</v>
      </c>
      <c r="BW287" s="552">
        <f t="shared" si="14"/>
        <v>2</v>
      </c>
      <c r="BX287" s="552">
        <f t="shared" si="14"/>
        <v>2</v>
      </c>
      <c r="BY287" s="552">
        <f t="shared" si="14"/>
        <v>2</v>
      </c>
      <c r="BZ287" s="552">
        <f t="shared" si="14"/>
        <v>2</v>
      </c>
      <c r="CA287" s="552">
        <f t="shared" si="14"/>
        <v>2</v>
      </c>
      <c r="CB287" s="552">
        <f t="shared" si="14"/>
        <v>2</v>
      </c>
      <c r="CC287" s="552">
        <f t="shared" si="14"/>
        <v>2</v>
      </c>
      <c r="CD287" s="552">
        <f t="shared" si="14"/>
        <v>2</v>
      </c>
      <c r="CE287" s="180"/>
      <c r="CF287" s="180"/>
      <c r="CG287" s="180"/>
      <c r="CH287" s="180"/>
      <c r="CI287" s="180"/>
      <c r="CJ287" s="180"/>
      <c r="CK287" s="180"/>
      <c r="CL287" s="180"/>
      <c r="CM287" s="180"/>
      <c r="CN287" s="180"/>
      <c r="CO287" s="180"/>
      <c r="CP287" s="180"/>
      <c r="CQ287" s="180"/>
      <c r="CR287" s="180"/>
      <c r="CS287" s="180"/>
      <c r="CT287" s="180"/>
      <c r="CU287" s="180"/>
      <c r="CV287" s="180"/>
      <c r="CW287" s="180"/>
      <c r="CX287" s="180"/>
      <c r="CY287" s="180"/>
      <c r="CZ287" s="180"/>
    </row>
    <row r="288" spans="1:104" x14ac:dyDescent="0.3">
      <c r="A288" s="552">
        <f>A240</f>
        <v>1056</v>
      </c>
      <c r="B288" s="552" t="str">
        <f t="shared" ref="B288:BM288" si="15">B240</f>
        <v>Did your audit disclose as a finding that the unitGÇÖs records were not completed by the agreed upon time? (Yes or No)</v>
      </c>
      <c r="C288" s="552">
        <f t="shared" si="15"/>
        <v>0</v>
      </c>
      <c r="D288" s="552">
        <f t="shared" si="15"/>
        <v>0</v>
      </c>
      <c r="E288" s="552">
        <f t="shared" si="15"/>
        <v>1</v>
      </c>
      <c r="F288" s="552">
        <f t="shared" si="15"/>
        <v>2</v>
      </c>
      <c r="G288" s="552">
        <f t="shared" si="15"/>
        <v>2</v>
      </c>
      <c r="H288" s="552">
        <f t="shared" si="15"/>
        <v>2</v>
      </c>
      <c r="I288" s="552">
        <f t="shared" si="15"/>
        <v>2</v>
      </c>
      <c r="J288" s="552">
        <f t="shared" si="15"/>
        <v>2</v>
      </c>
      <c r="K288" s="552">
        <f t="shared" si="15"/>
        <v>2</v>
      </c>
      <c r="L288" s="552">
        <f t="shared" si="15"/>
        <v>2</v>
      </c>
      <c r="M288" s="552">
        <f t="shared" si="15"/>
        <v>2</v>
      </c>
      <c r="N288" s="552">
        <f t="shared" si="15"/>
        <v>2</v>
      </c>
      <c r="O288" s="552">
        <f t="shared" si="15"/>
        <v>2</v>
      </c>
      <c r="P288" s="552">
        <f t="shared" si="15"/>
        <v>2</v>
      </c>
      <c r="Q288" s="552">
        <f t="shared" si="15"/>
        <v>2</v>
      </c>
      <c r="R288" s="552">
        <f t="shared" si="15"/>
        <v>2</v>
      </c>
      <c r="S288" s="552">
        <f t="shared" si="15"/>
        <v>1</v>
      </c>
      <c r="T288" s="552">
        <f t="shared" si="15"/>
        <v>2</v>
      </c>
      <c r="U288" s="552">
        <f t="shared" si="15"/>
        <v>2</v>
      </c>
      <c r="V288" s="552">
        <f t="shared" si="15"/>
        <v>2</v>
      </c>
      <c r="W288" s="552">
        <f t="shared" si="15"/>
        <v>2</v>
      </c>
      <c r="X288" s="552">
        <f t="shared" si="15"/>
        <v>2</v>
      </c>
      <c r="Y288" s="552">
        <f t="shared" si="15"/>
        <v>2</v>
      </c>
      <c r="Z288" s="552">
        <f t="shared" si="15"/>
        <v>2</v>
      </c>
      <c r="AA288" s="552">
        <f t="shared" si="15"/>
        <v>2</v>
      </c>
      <c r="AB288" s="552">
        <f t="shared" si="15"/>
        <v>2</v>
      </c>
      <c r="AC288" s="552">
        <f t="shared" si="15"/>
        <v>2</v>
      </c>
      <c r="AD288" s="552">
        <f t="shared" si="15"/>
        <v>2</v>
      </c>
      <c r="AE288" s="552">
        <f t="shared" si="15"/>
        <v>0</v>
      </c>
      <c r="AF288" s="552">
        <f t="shared" si="15"/>
        <v>2</v>
      </c>
      <c r="AG288" s="552">
        <f t="shared" si="15"/>
        <v>2</v>
      </c>
      <c r="AH288" s="552">
        <f t="shared" si="15"/>
        <v>2</v>
      </c>
      <c r="AI288" s="552">
        <f t="shared" si="15"/>
        <v>2</v>
      </c>
      <c r="AJ288" s="552">
        <f t="shared" si="15"/>
        <v>2</v>
      </c>
      <c r="AK288" s="552">
        <f t="shared" si="15"/>
        <v>1</v>
      </c>
      <c r="AL288" s="552">
        <f t="shared" si="15"/>
        <v>2</v>
      </c>
      <c r="AM288" s="552">
        <f t="shared" si="15"/>
        <v>2</v>
      </c>
      <c r="AN288" s="552">
        <f t="shared" si="15"/>
        <v>2</v>
      </c>
      <c r="AO288" s="552">
        <f t="shared" si="15"/>
        <v>2</v>
      </c>
      <c r="AP288" s="552">
        <f t="shared" si="15"/>
        <v>2</v>
      </c>
      <c r="AQ288" s="552">
        <f t="shared" si="15"/>
        <v>2</v>
      </c>
      <c r="AR288" s="552">
        <f t="shared" si="15"/>
        <v>2</v>
      </c>
      <c r="AS288" s="552">
        <f t="shared" si="15"/>
        <v>1</v>
      </c>
      <c r="AT288" s="552">
        <f t="shared" si="15"/>
        <v>2</v>
      </c>
      <c r="AU288" s="552">
        <f t="shared" si="15"/>
        <v>2</v>
      </c>
      <c r="AV288" s="552">
        <f t="shared" si="15"/>
        <v>2</v>
      </c>
      <c r="AW288" s="552">
        <f t="shared" si="15"/>
        <v>2</v>
      </c>
      <c r="AX288" s="552">
        <f t="shared" si="15"/>
        <v>2</v>
      </c>
      <c r="AY288" s="552">
        <f t="shared" si="15"/>
        <v>2</v>
      </c>
      <c r="AZ288" s="552">
        <f t="shared" si="15"/>
        <v>0</v>
      </c>
      <c r="BA288" s="552">
        <f t="shared" si="15"/>
        <v>1</v>
      </c>
      <c r="BB288" s="552">
        <f t="shared" si="15"/>
        <v>2</v>
      </c>
      <c r="BC288" s="552">
        <f t="shared" si="15"/>
        <v>2</v>
      </c>
      <c r="BD288" s="552">
        <f t="shared" si="15"/>
        <v>2</v>
      </c>
      <c r="BE288" s="552">
        <f t="shared" si="15"/>
        <v>2</v>
      </c>
      <c r="BF288" s="552">
        <f t="shared" si="15"/>
        <v>2</v>
      </c>
      <c r="BG288" s="552">
        <f t="shared" si="15"/>
        <v>2</v>
      </c>
      <c r="BH288" s="552">
        <f t="shared" si="15"/>
        <v>2</v>
      </c>
      <c r="BI288" s="552">
        <f t="shared" si="15"/>
        <v>2</v>
      </c>
      <c r="BJ288" s="552">
        <f t="shared" si="15"/>
        <v>2</v>
      </c>
      <c r="BK288" s="552">
        <f t="shared" si="15"/>
        <v>2</v>
      </c>
      <c r="BL288" s="552">
        <f t="shared" si="15"/>
        <v>2</v>
      </c>
      <c r="BM288" s="552">
        <f t="shared" si="15"/>
        <v>2</v>
      </c>
      <c r="BN288" s="552">
        <f t="shared" ref="BN288:BR288" si="16">BN240</f>
        <v>2</v>
      </c>
      <c r="BO288" s="552">
        <f t="shared" si="16"/>
        <v>2</v>
      </c>
      <c r="BP288" s="552">
        <f t="shared" si="16"/>
        <v>2</v>
      </c>
      <c r="BQ288" s="552">
        <f t="shared" si="16"/>
        <v>2</v>
      </c>
      <c r="BR288" s="552">
        <f t="shared" si="16"/>
        <v>2</v>
      </c>
      <c r="BS288" s="552">
        <f t="shared" ref="BS288:CD288" si="17">BS240</f>
        <v>2</v>
      </c>
      <c r="BT288" s="552">
        <f t="shared" si="17"/>
        <v>2</v>
      </c>
      <c r="BU288" s="552">
        <f t="shared" si="17"/>
        <v>2</v>
      </c>
      <c r="BV288" s="552">
        <f t="shared" si="17"/>
        <v>2</v>
      </c>
      <c r="BW288" s="552">
        <f t="shared" si="17"/>
        <v>2</v>
      </c>
      <c r="BX288" s="552">
        <f t="shared" si="17"/>
        <v>2</v>
      </c>
      <c r="BY288" s="552">
        <f t="shared" si="17"/>
        <v>2</v>
      </c>
      <c r="BZ288" s="552">
        <f t="shared" si="17"/>
        <v>2</v>
      </c>
      <c r="CA288" s="552">
        <f t="shared" si="17"/>
        <v>2</v>
      </c>
      <c r="CB288" s="552">
        <f t="shared" si="17"/>
        <v>2</v>
      </c>
      <c r="CC288" s="552">
        <f t="shared" si="17"/>
        <v>2</v>
      </c>
      <c r="CD288" s="552">
        <f t="shared" si="17"/>
        <v>2</v>
      </c>
      <c r="CE288" s="180"/>
      <c r="CF288" s="180"/>
      <c r="CG288" s="180"/>
      <c r="CH288" s="180"/>
      <c r="CI288" s="180"/>
      <c r="CJ288" s="180"/>
      <c r="CK288" s="180"/>
      <c r="CL288" s="180"/>
      <c r="CM288" s="180"/>
      <c r="CN288" s="180"/>
      <c r="CO288" s="180"/>
      <c r="CP288" s="180"/>
      <c r="CQ288" s="180"/>
      <c r="CR288" s="180"/>
      <c r="CS288" s="180"/>
      <c r="CT288" s="180"/>
      <c r="CU288" s="180"/>
      <c r="CV288" s="180"/>
      <c r="CW288" s="180"/>
      <c r="CX288" s="180"/>
      <c r="CY288" s="180"/>
      <c r="CZ288" s="180"/>
    </row>
    <row r="289" spans="1:104" x14ac:dyDescent="0.3">
      <c r="A289" s="552">
        <f>A241</f>
        <v>1057</v>
      </c>
      <c r="B289" s="552" t="str">
        <f t="shared" ref="B289:BM289" si="18">B241</f>
        <v>Did your audit disclose any budget violations at the adopted ordinance level? (Yes or No)</v>
      </c>
      <c r="C289" s="552">
        <f t="shared" si="18"/>
        <v>0</v>
      </c>
      <c r="D289" s="552">
        <f t="shared" si="18"/>
        <v>0</v>
      </c>
      <c r="E289" s="552">
        <f t="shared" si="18"/>
        <v>2</v>
      </c>
      <c r="F289" s="552">
        <f t="shared" si="18"/>
        <v>2</v>
      </c>
      <c r="G289" s="552">
        <f t="shared" si="18"/>
        <v>2</v>
      </c>
      <c r="H289" s="552">
        <f t="shared" si="18"/>
        <v>2</v>
      </c>
      <c r="I289" s="552">
        <f t="shared" si="18"/>
        <v>2</v>
      </c>
      <c r="J289" s="552">
        <f t="shared" si="18"/>
        <v>2</v>
      </c>
      <c r="K289" s="552">
        <f t="shared" si="18"/>
        <v>2</v>
      </c>
      <c r="L289" s="552">
        <f t="shared" si="18"/>
        <v>2</v>
      </c>
      <c r="M289" s="552">
        <f t="shared" si="18"/>
        <v>2</v>
      </c>
      <c r="N289" s="552">
        <f t="shared" si="18"/>
        <v>2</v>
      </c>
      <c r="O289" s="552">
        <f t="shared" si="18"/>
        <v>2</v>
      </c>
      <c r="P289" s="552">
        <f t="shared" si="18"/>
        <v>2</v>
      </c>
      <c r="Q289" s="552">
        <f t="shared" si="18"/>
        <v>2</v>
      </c>
      <c r="R289" s="552">
        <f t="shared" si="18"/>
        <v>1</v>
      </c>
      <c r="S289" s="552">
        <f t="shared" si="18"/>
        <v>2</v>
      </c>
      <c r="T289" s="552">
        <f t="shared" si="18"/>
        <v>2</v>
      </c>
      <c r="U289" s="552">
        <f t="shared" si="18"/>
        <v>2</v>
      </c>
      <c r="V289" s="552">
        <f t="shared" si="18"/>
        <v>2</v>
      </c>
      <c r="W289" s="552">
        <f t="shared" si="18"/>
        <v>2</v>
      </c>
      <c r="X289" s="552">
        <f t="shared" si="18"/>
        <v>2</v>
      </c>
      <c r="Y289" s="552">
        <f t="shared" si="18"/>
        <v>1</v>
      </c>
      <c r="Z289" s="552">
        <f t="shared" si="18"/>
        <v>2</v>
      </c>
      <c r="AA289" s="552">
        <f t="shared" si="18"/>
        <v>2</v>
      </c>
      <c r="AB289" s="552">
        <f t="shared" si="18"/>
        <v>2</v>
      </c>
      <c r="AC289" s="552">
        <f t="shared" si="18"/>
        <v>2</v>
      </c>
      <c r="AD289" s="552">
        <f t="shared" si="18"/>
        <v>1</v>
      </c>
      <c r="AE289" s="552">
        <f t="shared" si="18"/>
        <v>0</v>
      </c>
      <c r="AF289" s="552">
        <f t="shared" si="18"/>
        <v>2</v>
      </c>
      <c r="AG289" s="552">
        <f t="shared" si="18"/>
        <v>2</v>
      </c>
      <c r="AH289" s="552">
        <f t="shared" si="18"/>
        <v>2</v>
      </c>
      <c r="AI289" s="552">
        <f t="shared" si="18"/>
        <v>2</v>
      </c>
      <c r="AJ289" s="552">
        <f t="shared" si="18"/>
        <v>2</v>
      </c>
      <c r="AK289" s="552">
        <f t="shared" si="18"/>
        <v>2</v>
      </c>
      <c r="AL289" s="552">
        <f t="shared" si="18"/>
        <v>1</v>
      </c>
      <c r="AM289" s="552">
        <f t="shared" si="18"/>
        <v>2</v>
      </c>
      <c r="AN289" s="552">
        <f t="shared" si="18"/>
        <v>2</v>
      </c>
      <c r="AO289" s="552">
        <f t="shared" si="18"/>
        <v>2</v>
      </c>
      <c r="AP289" s="552">
        <f t="shared" si="18"/>
        <v>2</v>
      </c>
      <c r="AQ289" s="552">
        <f t="shared" si="18"/>
        <v>2</v>
      </c>
      <c r="AR289" s="552">
        <f t="shared" si="18"/>
        <v>2</v>
      </c>
      <c r="AS289" s="552">
        <f t="shared" si="18"/>
        <v>2</v>
      </c>
      <c r="AT289" s="552">
        <f t="shared" si="18"/>
        <v>2</v>
      </c>
      <c r="AU289" s="552">
        <f t="shared" si="18"/>
        <v>2</v>
      </c>
      <c r="AV289" s="552">
        <f t="shared" si="18"/>
        <v>2</v>
      </c>
      <c r="AW289" s="552">
        <f t="shared" si="18"/>
        <v>1</v>
      </c>
      <c r="AX289" s="552">
        <f t="shared" si="18"/>
        <v>1</v>
      </c>
      <c r="AY289" s="552">
        <f t="shared" si="18"/>
        <v>1</v>
      </c>
      <c r="AZ289" s="552">
        <f t="shared" si="18"/>
        <v>0</v>
      </c>
      <c r="BA289" s="552">
        <f t="shared" si="18"/>
        <v>1</v>
      </c>
      <c r="BB289" s="552">
        <f t="shared" si="18"/>
        <v>2</v>
      </c>
      <c r="BC289" s="552">
        <f t="shared" si="18"/>
        <v>2</v>
      </c>
      <c r="BD289" s="552">
        <f t="shared" si="18"/>
        <v>2</v>
      </c>
      <c r="BE289" s="552">
        <f t="shared" si="18"/>
        <v>2</v>
      </c>
      <c r="BF289" s="552">
        <f t="shared" si="18"/>
        <v>2</v>
      </c>
      <c r="BG289" s="552">
        <f t="shared" si="18"/>
        <v>2</v>
      </c>
      <c r="BH289" s="552">
        <f t="shared" si="18"/>
        <v>2</v>
      </c>
      <c r="BI289" s="552">
        <f t="shared" si="18"/>
        <v>1</v>
      </c>
      <c r="BJ289" s="552">
        <f t="shared" si="18"/>
        <v>2</v>
      </c>
      <c r="BK289" s="552">
        <f t="shared" si="18"/>
        <v>2</v>
      </c>
      <c r="BL289" s="552">
        <f t="shared" si="18"/>
        <v>2</v>
      </c>
      <c r="BM289" s="552">
        <f t="shared" si="18"/>
        <v>2</v>
      </c>
      <c r="BN289" s="552">
        <f t="shared" ref="BN289:BR289" si="19">BN241</f>
        <v>1</v>
      </c>
      <c r="BO289" s="552">
        <f t="shared" si="19"/>
        <v>2</v>
      </c>
      <c r="BP289" s="552">
        <f t="shared" si="19"/>
        <v>2</v>
      </c>
      <c r="BQ289" s="552">
        <f t="shared" si="19"/>
        <v>2</v>
      </c>
      <c r="BR289" s="552">
        <f t="shared" si="19"/>
        <v>2</v>
      </c>
      <c r="BS289" s="552">
        <f t="shared" ref="BS289:CD289" si="20">BS241</f>
        <v>2</v>
      </c>
      <c r="BT289" s="552">
        <f t="shared" si="20"/>
        <v>2</v>
      </c>
      <c r="BU289" s="552">
        <f t="shared" si="20"/>
        <v>2</v>
      </c>
      <c r="BV289" s="552">
        <f t="shared" si="20"/>
        <v>1</v>
      </c>
      <c r="BW289" s="552">
        <f t="shared" si="20"/>
        <v>2</v>
      </c>
      <c r="BX289" s="552">
        <f t="shared" si="20"/>
        <v>2</v>
      </c>
      <c r="BY289" s="552">
        <f t="shared" si="20"/>
        <v>2</v>
      </c>
      <c r="BZ289" s="552">
        <f t="shared" si="20"/>
        <v>2</v>
      </c>
      <c r="CA289" s="552">
        <f t="shared" si="20"/>
        <v>1</v>
      </c>
      <c r="CB289" s="552">
        <f t="shared" si="20"/>
        <v>2</v>
      </c>
      <c r="CC289" s="552">
        <f t="shared" si="20"/>
        <v>2</v>
      </c>
      <c r="CD289" s="552">
        <f t="shared" si="20"/>
        <v>2</v>
      </c>
      <c r="CE289" s="180"/>
      <c r="CF289" s="180"/>
      <c r="CG289" s="180"/>
      <c r="CH289" s="180"/>
      <c r="CI289" s="180"/>
      <c r="CJ289" s="180"/>
      <c r="CK289" s="180"/>
      <c r="CL289" s="180"/>
      <c r="CM289" s="180"/>
      <c r="CN289" s="180"/>
      <c r="CO289" s="180"/>
      <c r="CP289" s="180"/>
      <c r="CQ289" s="180"/>
      <c r="CR289" s="180"/>
      <c r="CS289" s="180"/>
      <c r="CT289" s="180"/>
      <c r="CU289" s="180"/>
      <c r="CV289" s="180"/>
      <c r="CW289" s="180"/>
      <c r="CX289" s="180"/>
      <c r="CY289" s="180"/>
      <c r="CZ289" s="180"/>
    </row>
    <row r="290" spans="1:104" x14ac:dyDescent="0.3">
      <c r="A290" s="552">
        <f>A242</f>
        <v>1058</v>
      </c>
      <c r="B290" s="552" t="str">
        <f t="shared" ref="B290:BM290" si="21">B242</f>
        <v>Did your audit disclose as a finding any statutory violations? (not including budget violations) (Yes or No)</v>
      </c>
      <c r="C290" s="552">
        <f t="shared" si="21"/>
        <v>0</v>
      </c>
      <c r="D290" s="552">
        <f t="shared" si="21"/>
        <v>0</v>
      </c>
      <c r="E290" s="552">
        <f t="shared" si="21"/>
        <v>2</v>
      </c>
      <c r="F290" s="552">
        <f t="shared" si="21"/>
        <v>2</v>
      </c>
      <c r="G290" s="552">
        <f t="shared" si="21"/>
        <v>2</v>
      </c>
      <c r="H290" s="552">
        <f t="shared" si="21"/>
        <v>2</v>
      </c>
      <c r="I290" s="552">
        <f t="shared" si="21"/>
        <v>2</v>
      </c>
      <c r="J290" s="552">
        <f t="shared" si="21"/>
        <v>2</v>
      </c>
      <c r="K290" s="552">
        <f t="shared" si="21"/>
        <v>2</v>
      </c>
      <c r="L290" s="552">
        <f t="shared" si="21"/>
        <v>2</v>
      </c>
      <c r="M290" s="552">
        <f t="shared" si="21"/>
        <v>1</v>
      </c>
      <c r="N290" s="552">
        <f t="shared" si="21"/>
        <v>2</v>
      </c>
      <c r="O290" s="552">
        <f t="shared" si="21"/>
        <v>2</v>
      </c>
      <c r="P290" s="552">
        <f t="shared" si="21"/>
        <v>2</v>
      </c>
      <c r="Q290" s="552">
        <f t="shared" si="21"/>
        <v>2</v>
      </c>
      <c r="R290" s="552">
        <f t="shared" si="21"/>
        <v>2</v>
      </c>
      <c r="S290" s="552">
        <f t="shared" si="21"/>
        <v>1</v>
      </c>
      <c r="T290" s="552">
        <f t="shared" si="21"/>
        <v>1</v>
      </c>
      <c r="U290" s="552">
        <f t="shared" si="21"/>
        <v>2</v>
      </c>
      <c r="V290" s="552">
        <f t="shared" si="21"/>
        <v>2</v>
      </c>
      <c r="W290" s="552">
        <f t="shared" si="21"/>
        <v>2</v>
      </c>
      <c r="X290" s="552">
        <f t="shared" si="21"/>
        <v>2</v>
      </c>
      <c r="Y290" s="552">
        <f t="shared" si="21"/>
        <v>1</v>
      </c>
      <c r="Z290" s="552">
        <f t="shared" si="21"/>
        <v>2</v>
      </c>
      <c r="AA290" s="552">
        <f t="shared" si="21"/>
        <v>2</v>
      </c>
      <c r="AB290" s="552">
        <f t="shared" si="21"/>
        <v>1</v>
      </c>
      <c r="AC290" s="552">
        <f t="shared" si="21"/>
        <v>2</v>
      </c>
      <c r="AD290" s="552">
        <f t="shared" si="21"/>
        <v>2</v>
      </c>
      <c r="AE290" s="552">
        <f t="shared" si="21"/>
        <v>0</v>
      </c>
      <c r="AF290" s="552">
        <f t="shared" si="21"/>
        <v>2</v>
      </c>
      <c r="AG290" s="552">
        <f t="shared" si="21"/>
        <v>2</v>
      </c>
      <c r="AH290" s="552">
        <f t="shared" si="21"/>
        <v>2</v>
      </c>
      <c r="AI290" s="552">
        <f t="shared" si="21"/>
        <v>2</v>
      </c>
      <c r="AJ290" s="552">
        <f t="shared" si="21"/>
        <v>2</v>
      </c>
      <c r="AK290" s="552">
        <f t="shared" si="21"/>
        <v>1</v>
      </c>
      <c r="AL290" s="552">
        <f t="shared" si="21"/>
        <v>1</v>
      </c>
      <c r="AM290" s="552">
        <f t="shared" si="21"/>
        <v>2</v>
      </c>
      <c r="AN290" s="552">
        <f t="shared" si="21"/>
        <v>2</v>
      </c>
      <c r="AO290" s="552">
        <f t="shared" si="21"/>
        <v>2</v>
      </c>
      <c r="AP290" s="552">
        <f t="shared" si="21"/>
        <v>2</v>
      </c>
      <c r="AQ290" s="552">
        <f t="shared" si="21"/>
        <v>2</v>
      </c>
      <c r="AR290" s="552">
        <f t="shared" si="21"/>
        <v>2</v>
      </c>
      <c r="AS290" s="552">
        <f t="shared" si="21"/>
        <v>2</v>
      </c>
      <c r="AT290" s="552">
        <f t="shared" si="21"/>
        <v>2</v>
      </c>
      <c r="AU290" s="552">
        <f t="shared" si="21"/>
        <v>2</v>
      </c>
      <c r="AV290" s="552">
        <f t="shared" si="21"/>
        <v>2</v>
      </c>
      <c r="AW290" s="552">
        <f t="shared" si="21"/>
        <v>2</v>
      </c>
      <c r="AX290" s="552">
        <f t="shared" si="21"/>
        <v>2</v>
      </c>
      <c r="AY290" s="552">
        <f t="shared" si="21"/>
        <v>2</v>
      </c>
      <c r="AZ290" s="552">
        <f t="shared" si="21"/>
        <v>0</v>
      </c>
      <c r="BA290" s="552">
        <f t="shared" si="21"/>
        <v>1</v>
      </c>
      <c r="BB290" s="552">
        <f t="shared" si="21"/>
        <v>2</v>
      </c>
      <c r="BC290" s="552">
        <f t="shared" si="21"/>
        <v>2</v>
      </c>
      <c r="BD290" s="552">
        <f t="shared" si="21"/>
        <v>2</v>
      </c>
      <c r="BE290" s="552">
        <f t="shared" si="21"/>
        <v>2</v>
      </c>
      <c r="BF290" s="552">
        <f t="shared" si="21"/>
        <v>2</v>
      </c>
      <c r="BG290" s="552">
        <f t="shared" si="21"/>
        <v>2</v>
      </c>
      <c r="BH290" s="552">
        <f t="shared" si="21"/>
        <v>2</v>
      </c>
      <c r="BI290" s="552">
        <f t="shared" si="21"/>
        <v>2</v>
      </c>
      <c r="BJ290" s="552">
        <f t="shared" si="21"/>
        <v>2</v>
      </c>
      <c r="BK290" s="552">
        <f t="shared" si="21"/>
        <v>2</v>
      </c>
      <c r="BL290" s="552">
        <f t="shared" si="21"/>
        <v>2</v>
      </c>
      <c r="BM290" s="552">
        <f t="shared" si="21"/>
        <v>2</v>
      </c>
      <c r="BN290" s="552">
        <f t="shared" ref="BN290:BR290" si="22">BN242</f>
        <v>2</v>
      </c>
      <c r="BO290" s="552">
        <f t="shared" si="22"/>
        <v>2</v>
      </c>
      <c r="BP290" s="552">
        <f t="shared" si="22"/>
        <v>2</v>
      </c>
      <c r="BQ290" s="552">
        <f t="shared" si="22"/>
        <v>2</v>
      </c>
      <c r="BR290" s="552">
        <f t="shared" si="22"/>
        <v>2</v>
      </c>
      <c r="BS290" s="552">
        <f t="shared" ref="BS290:CD290" si="23">BS242</f>
        <v>2</v>
      </c>
      <c r="BT290" s="552">
        <f t="shared" si="23"/>
        <v>2</v>
      </c>
      <c r="BU290" s="552">
        <f t="shared" si="23"/>
        <v>1</v>
      </c>
      <c r="BV290" s="552">
        <f t="shared" si="23"/>
        <v>2</v>
      </c>
      <c r="BW290" s="552">
        <f t="shared" si="23"/>
        <v>2</v>
      </c>
      <c r="BX290" s="552">
        <f t="shared" si="23"/>
        <v>2</v>
      </c>
      <c r="BY290" s="552">
        <f t="shared" si="23"/>
        <v>2</v>
      </c>
      <c r="BZ290" s="552">
        <f t="shared" si="23"/>
        <v>1</v>
      </c>
      <c r="CA290" s="552">
        <f t="shared" si="23"/>
        <v>2</v>
      </c>
      <c r="CB290" s="552">
        <f t="shared" si="23"/>
        <v>2</v>
      </c>
      <c r="CC290" s="552">
        <f t="shared" si="23"/>
        <v>2</v>
      </c>
      <c r="CD290" s="552">
        <f t="shared" si="23"/>
        <v>2</v>
      </c>
      <c r="CE290" s="180"/>
      <c r="CF290" s="180"/>
      <c r="CG290" s="180"/>
      <c r="CH290" s="180"/>
      <c r="CI290" s="180"/>
      <c r="CJ290" s="180"/>
      <c r="CK290" s="180"/>
      <c r="CL290" s="180"/>
      <c r="CM290" s="180"/>
      <c r="CN290" s="180"/>
      <c r="CO290" s="180"/>
      <c r="CP290" s="180"/>
      <c r="CQ290" s="180"/>
      <c r="CR290" s="180"/>
      <c r="CS290" s="180"/>
      <c r="CT290" s="180"/>
      <c r="CU290" s="180"/>
      <c r="CV290" s="180"/>
      <c r="CW290" s="180"/>
      <c r="CX290" s="180"/>
      <c r="CY290" s="180"/>
      <c r="CZ290" s="180"/>
    </row>
    <row r="291" spans="1:104" x14ac:dyDescent="0.3">
      <c r="A291" s="552">
        <f>A243</f>
        <v>1059</v>
      </c>
      <c r="B291" s="552" t="str">
        <f t="shared" ref="B291:BM291" si="24">B243</f>
        <v>Did the unit have a board-appointed finance officer the entire fiscal year? (Yes or No)?</v>
      </c>
      <c r="C291" s="552">
        <f t="shared" si="24"/>
        <v>0</v>
      </c>
      <c r="D291" s="552">
        <f t="shared" si="24"/>
        <v>0</v>
      </c>
      <c r="E291" s="552">
        <f t="shared" si="24"/>
        <v>1</v>
      </c>
      <c r="F291" s="552">
        <f t="shared" si="24"/>
        <v>1</v>
      </c>
      <c r="G291" s="552">
        <f t="shared" si="24"/>
        <v>1</v>
      </c>
      <c r="H291" s="552">
        <f t="shared" si="24"/>
        <v>1</v>
      </c>
      <c r="I291" s="552">
        <f t="shared" si="24"/>
        <v>1</v>
      </c>
      <c r="J291" s="552">
        <f t="shared" si="24"/>
        <v>1</v>
      </c>
      <c r="K291" s="552">
        <f t="shared" si="24"/>
        <v>1</v>
      </c>
      <c r="L291" s="552">
        <f t="shared" si="24"/>
        <v>1</v>
      </c>
      <c r="M291" s="552">
        <f t="shared" si="24"/>
        <v>1</v>
      </c>
      <c r="N291" s="552">
        <f t="shared" si="24"/>
        <v>1</v>
      </c>
      <c r="O291" s="552">
        <f t="shared" si="24"/>
        <v>1</v>
      </c>
      <c r="P291" s="552">
        <f t="shared" si="24"/>
        <v>1</v>
      </c>
      <c r="Q291" s="552">
        <f t="shared" si="24"/>
        <v>1</v>
      </c>
      <c r="R291" s="552">
        <f t="shared" si="24"/>
        <v>1</v>
      </c>
      <c r="S291" s="552">
        <f t="shared" si="24"/>
        <v>1</v>
      </c>
      <c r="T291" s="552">
        <f t="shared" si="24"/>
        <v>1</v>
      </c>
      <c r="U291" s="552">
        <f t="shared" si="24"/>
        <v>1</v>
      </c>
      <c r="V291" s="552">
        <f t="shared" si="24"/>
        <v>1</v>
      </c>
      <c r="W291" s="552">
        <f t="shared" si="24"/>
        <v>1</v>
      </c>
      <c r="X291" s="552">
        <f t="shared" si="24"/>
        <v>1</v>
      </c>
      <c r="Y291" s="552">
        <f t="shared" si="24"/>
        <v>1</v>
      </c>
      <c r="Z291" s="552">
        <f t="shared" si="24"/>
        <v>1</v>
      </c>
      <c r="AA291" s="552">
        <f t="shared" si="24"/>
        <v>1</v>
      </c>
      <c r="AB291" s="552">
        <f t="shared" si="24"/>
        <v>1</v>
      </c>
      <c r="AC291" s="552">
        <f t="shared" si="24"/>
        <v>1</v>
      </c>
      <c r="AD291" s="552">
        <f t="shared" si="24"/>
        <v>1</v>
      </c>
      <c r="AE291" s="552">
        <f t="shared" si="24"/>
        <v>0</v>
      </c>
      <c r="AF291" s="552">
        <f t="shared" si="24"/>
        <v>1</v>
      </c>
      <c r="AG291" s="552">
        <f t="shared" si="24"/>
        <v>1</v>
      </c>
      <c r="AH291" s="552">
        <f t="shared" si="24"/>
        <v>1</v>
      </c>
      <c r="AI291" s="552">
        <f t="shared" si="24"/>
        <v>1</v>
      </c>
      <c r="AJ291" s="552">
        <f t="shared" si="24"/>
        <v>1</v>
      </c>
      <c r="AK291" s="552">
        <f t="shared" si="24"/>
        <v>1</v>
      </c>
      <c r="AL291" s="552">
        <f t="shared" si="24"/>
        <v>1</v>
      </c>
      <c r="AM291" s="552">
        <f t="shared" si="24"/>
        <v>1</v>
      </c>
      <c r="AN291" s="552">
        <f t="shared" si="24"/>
        <v>1</v>
      </c>
      <c r="AO291" s="552">
        <f t="shared" si="24"/>
        <v>1</v>
      </c>
      <c r="AP291" s="552">
        <f t="shared" si="24"/>
        <v>1</v>
      </c>
      <c r="AQ291" s="552">
        <f t="shared" si="24"/>
        <v>1</v>
      </c>
      <c r="AR291" s="552">
        <f t="shared" si="24"/>
        <v>1</v>
      </c>
      <c r="AS291" s="552">
        <f t="shared" si="24"/>
        <v>1</v>
      </c>
      <c r="AT291" s="552">
        <f t="shared" si="24"/>
        <v>1</v>
      </c>
      <c r="AU291" s="552">
        <f t="shared" si="24"/>
        <v>1</v>
      </c>
      <c r="AV291" s="552">
        <f t="shared" si="24"/>
        <v>1</v>
      </c>
      <c r="AW291" s="552">
        <f t="shared" si="24"/>
        <v>1</v>
      </c>
      <c r="AX291" s="552">
        <f t="shared" si="24"/>
        <v>1</v>
      </c>
      <c r="AY291" s="552">
        <f t="shared" si="24"/>
        <v>1</v>
      </c>
      <c r="AZ291" s="552">
        <f t="shared" si="24"/>
        <v>0</v>
      </c>
      <c r="BA291" s="552">
        <f t="shared" si="24"/>
        <v>1</v>
      </c>
      <c r="BB291" s="552">
        <f t="shared" si="24"/>
        <v>1</v>
      </c>
      <c r="BC291" s="552">
        <f t="shared" si="24"/>
        <v>1</v>
      </c>
      <c r="BD291" s="552">
        <f t="shared" si="24"/>
        <v>1</v>
      </c>
      <c r="BE291" s="552">
        <f t="shared" si="24"/>
        <v>1</v>
      </c>
      <c r="BF291" s="552">
        <f t="shared" si="24"/>
        <v>1</v>
      </c>
      <c r="BG291" s="552">
        <f t="shared" si="24"/>
        <v>1</v>
      </c>
      <c r="BH291" s="552">
        <f t="shared" si="24"/>
        <v>1</v>
      </c>
      <c r="BI291" s="552">
        <f t="shared" si="24"/>
        <v>1</v>
      </c>
      <c r="BJ291" s="552">
        <f t="shared" si="24"/>
        <v>1</v>
      </c>
      <c r="BK291" s="552">
        <f t="shared" si="24"/>
        <v>1</v>
      </c>
      <c r="BL291" s="552">
        <f t="shared" si="24"/>
        <v>1</v>
      </c>
      <c r="BM291" s="552">
        <f t="shared" si="24"/>
        <v>1</v>
      </c>
      <c r="BN291" s="552">
        <f t="shared" ref="BN291:BR291" si="25">BN243</f>
        <v>1</v>
      </c>
      <c r="BO291" s="552">
        <f t="shared" si="25"/>
        <v>1</v>
      </c>
      <c r="BP291" s="552">
        <f t="shared" si="25"/>
        <v>1</v>
      </c>
      <c r="BQ291" s="552">
        <f t="shared" si="25"/>
        <v>1</v>
      </c>
      <c r="BR291" s="552">
        <f t="shared" si="25"/>
        <v>1</v>
      </c>
      <c r="BS291" s="552">
        <f t="shared" ref="BS291:CD291" si="26">BS243</f>
        <v>1</v>
      </c>
      <c r="BT291" s="552">
        <f t="shared" si="26"/>
        <v>1</v>
      </c>
      <c r="BU291" s="552">
        <f t="shared" si="26"/>
        <v>1</v>
      </c>
      <c r="BV291" s="552">
        <f t="shared" si="26"/>
        <v>1</v>
      </c>
      <c r="BW291" s="552">
        <f t="shared" si="26"/>
        <v>1</v>
      </c>
      <c r="BX291" s="552">
        <f t="shared" si="26"/>
        <v>1</v>
      </c>
      <c r="BY291" s="552">
        <f t="shared" si="26"/>
        <v>1</v>
      </c>
      <c r="BZ291" s="552">
        <f t="shared" si="26"/>
        <v>1</v>
      </c>
      <c r="CA291" s="552">
        <f t="shared" si="26"/>
        <v>1</v>
      </c>
      <c r="CB291" s="552">
        <f t="shared" si="26"/>
        <v>1</v>
      </c>
      <c r="CC291" s="552">
        <f t="shared" si="26"/>
        <v>1</v>
      </c>
      <c r="CD291" s="552">
        <f t="shared" si="26"/>
        <v>1</v>
      </c>
      <c r="CE291" s="180"/>
      <c r="CF291" s="180"/>
      <c r="CG291" s="180"/>
      <c r="CH291" s="180"/>
      <c r="CI291" s="180"/>
      <c r="CJ291" s="180"/>
      <c r="CK291" s="180"/>
      <c r="CL291" s="180"/>
      <c r="CM291" s="180"/>
      <c r="CN291" s="180"/>
      <c r="CO291" s="180"/>
      <c r="CP291" s="180"/>
      <c r="CQ291" s="180"/>
      <c r="CR291" s="180"/>
      <c r="CS291" s="180"/>
      <c r="CT291" s="180"/>
      <c r="CU291" s="180"/>
      <c r="CV291" s="180"/>
      <c r="CW291" s="180"/>
      <c r="CX291" s="180"/>
      <c r="CY291" s="180"/>
      <c r="CZ291" s="180"/>
    </row>
    <row r="292" spans="1:104" x14ac:dyDescent="0.3">
      <c r="A292" s="552">
        <f>A257</f>
        <v>1078</v>
      </c>
      <c r="B292" s="552" t="str">
        <f t="shared" ref="B292:BM292" si="27">B257</f>
        <v>If the answer to 1059 is "No" then was the unit without a board-appointed interim or permanent finance officer for more than 2 weeks at any time in the fiscal year? (Note:  Please include a noncompliance finding related to GS 159-24, GS 159-25(a)(2) or GS</v>
      </c>
      <c r="C292" s="552">
        <f t="shared" si="27"/>
        <v>0</v>
      </c>
      <c r="D292" s="552">
        <f t="shared" si="27"/>
        <v>0</v>
      </c>
      <c r="E292" s="552">
        <f t="shared" si="27"/>
        <v>3</v>
      </c>
      <c r="F292" s="552">
        <f t="shared" si="27"/>
        <v>3</v>
      </c>
      <c r="G292" s="552">
        <f t="shared" si="27"/>
        <v>3</v>
      </c>
      <c r="H292" s="552">
        <f t="shared" si="27"/>
        <v>3</v>
      </c>
      <c r="I292" s="552">
        <f t="shared" si="27"/>
        <v>3</v>
      </c>
      <c r="J292" s="552">
        <f t="shared" si="27"/>
        <v>3</v>
      </c>
      <c r="K292" s="552">
        <f t="shared" si="27"/>
        <v>3</v>
      </c>
      <c r="L292" s="552">
        <f t="shared" si="27"/>
        <v>3</v>
      </c>
      <c r="M292" s="552">
        <f t="shared" si="27"/>
        <v>3</v>
      </c>
      <c r="N292" s="552">
        <f t="shared" si="27"/>
        <v>3</v>
      </c>
      <c r="O292" s="552">
        <f t="shared" si="27"/>
        <v>3</v>
      </c>
      <c r="P292" s="552">
        <f t="shared" si="27"/>
        <v>3</v>
      </c>
      <c r="Q292" s="552">
        <f t="shared" si="27"/>
        <v>3</v>
      </c>
      <c r="R292" s="552">
        <f t="shared" si="27"/>
        <v>3</v>
      </c>
      <c r="S292" s="552">
        <f t="shared" si="27"/>
        <v>3</v>
      </c>
      <c r="T292" s="552">
        <f t="shared" si="27"/>
        <v>3</v>
      </c>
      <c r="U292" s="552">
        <f t="shared" si="27"/>
        <v>3</v>
      </c>
      <c r="V292" s="552">
        <f t="shared" si="27"/>
        <v>3</v>
      </c>
      <c r="W292" s="552">
        <f t="shared" si="27"/>
        <v>3</v>
      </c>
      <c r="X292" s="552">
        <f t="shared" si="27"/>
        <v>3</v>
      </c>
      <c r="Y292" s="552">
        <f t="shared" si="27"/>
        <v>3</v>
      </c>
      <c r="Z292" s="552">
        <f t="shared" si="27"/>
        <v>3</v>
      </c>
      <c r="AA292" s="552">
        <f t="shared" si="27"/>
        <v>3</v>
      </c>
      <c r="AB292" s="552">
        <f t="shared" si="27"/>
        <v>3</v>
      </c>
      <c r="AC292" s="552">
        <f t="shared" si="27"/>
        <v>3</v>
      </c>
      <c r="AD292" s="552">
        <f t="shared" si="27"/>
        <v>3</v>
      </c>
      <c r="AE292" s="552">
        <f t="shared" si="27"/>
        <v>0</v>
      </c>
      <c r="AF292" s="552">
        <f t="shared" si="27"/>
        <v>3</v>
      </c>
      <c r="AG292" s="552">
        <f t="shared" si="27"/>
        <v>3</v>
      </c>
      <c r="AH292" s="552">
        <f t="shared" si="27"/>
        <v>3</v>
      </c>
      <c r="AI292" s="552">
        <f t="shared" si="27"/>
        <v>3</v>
      </c>
      <c r="AJ292" s="552">
        <f t="shared" si="27"/>
        <v>3</v>
      </c>
      <c r="AK292" s="552">
        <f t="shared" si="27"/>
        <v>3</v>
      </c>
      <c r="AL292" s="552">
        <f t="shared" si="27"/>
        <v>3</v>
      </c>
      <c r="AM292" s="552">
        <f t="shared" si="27"/>
        <v>3</v>
      </c>
      <c r="AN292" s="552">
        <f t="shared" si="27"/>
        <v>3</v>
      </c>
      <c r="AO292" s="552">
        <f t="shared" si="27"/>
        <v>3</v>
      </c>
      <c r="AP292" s="552">
        <f t="shared" si="27"/>
        <v>3</v>
      </c>
      <c r="AQ292" s="552">
        <f t="shared" si="27"/>
        <v>3</v>
      </c>
      <c r="AR292" s="552">
        <f t="shared" si="27"/>
        <v>3</v>
      </c>
      <c r="AS292" s="552">
        <f t="shared" si="27"/>
        <v>3</v>
      </c>
      <c r="AT292" s="552">
        <f t="shared" si="27"/>
        <v>3</v>
      </c>
      <c r="AU292" s="552">
        <f t="shared" si="27"/>
        <v>3</v>
      </c>
      <c r="AV292" s="552">
        <f t="shared" si="27"/>
        <v>3</v>
      </c>
      <c r="AW292" s="552">
        <f t="shared" si="27"/>
        <v>3</v>
      </c>
      <c r="AX292" s="552">
        <f t="shared" si="27"/>
        <v>3</v>
      </c>
      <c r="AY292" s="552">
        <f t="shared" si="27"/>
        <v>3</v>
      </c>
      <c r="AZ292" s="552">
        <f t="shared" si="27"/>
        <v>0</v>
      </c>
      <c r="BA292" s="552">
        <f t="shared" si="27"/>
        <v>3</v>
      </c>
      <c r="BB292" s="552">
        <f t="shared" si="27"/>
        <v>3</v>
      </c>
      <c r="BC292" s="552">
        <f t="shared" si="27"/>
        <v>3</v>
      </c>
      <c r="BD292" s="552">
        <f t="shared" si="27"/>
        <v>3</v>
      </c>
      <c r="BE292" s="552">
        <f t="shared" si="27"/>
        <v>3</v>
      </c>
      <c r="BF292" s="552">
        <f t="shared" si="27"/>
        <v>3</v>
      </c>
      <c r="BG292" s="552">
        <f t="shared" si="27"/>
        <v>3</v>
      </c>
      <c r="BH292" s="552">
        <f t="shared" si="27"/>
        <v>3</v>
      </c>
      <c r="BI292" s="552">
        <f t="shared" si="27"/>
        <v>3</v>
      </c>
      <c r="BJ292" s="552">
        <f t="shared" si="27"/>
        <v>3</v>
      </c>
      <c r="BK292" s="552">
        <f t="shared" si="27"/>
        <v>3</v>
      </c>
      <c r="BL292" s="552">
        <f t="shared" si="27"/>
        <v>3</v>
      </c>
      <c r="BM292" s="552">
        <f t="shared" si="27"/>
        <v>3</v>
      </c>
      <c r="BN292" s="552">
        <f t="shared" ref="BN292:BR292" si="28">BN257</f>
        <v>3</v>
      </c>
      <c r="BO292" s="552">
        <f t="shared" si="28"/>
        <v>3</v>
      </c>
      <c r="BP292" s="552">
        <f t="shared" si="28"/>
        <v>3</v>
      </c>
      <c r="BQ292" s="552">
        <f t="shared" si="28"/>
        <v>3</v>
      </c>
      <c r="BR292" s="552">
        <f t="shared" si="28"/>
        <v>3</v>
      </c>
      <c r="BS292" s="552">
        <f t="shared" ref="BS292:CD292" si="29">BS257</f>
        <v>2</v>
      </c>
      <c r="BT292" s="552">
        <f t="shared" si="29"/>
        <v>3</v>
      </c>
      <c r="BU292" s="552">
        <f t="shared" si="29"/>
        <v>3</v>
      </c>
      <c r="BV292" s="552">
        <f t="shared" si="29"/>
        <v>3</v>
      </c>
      <c r="BW292" s="552">
        <f t="shared" si="29"/>
        <v>3</v>
      </c>
      <c r="BX292" s="552">
        <f t="shared" si="29"/>
        <v>3</v>
      </c>
      <c r="BY292" s="552">
        <f t="shared" si="29"/>
        <v>3</v>
      </c>
      <c r="BZ292" s="552">
        <f t="shared" si="29"/>
        <v>3</v>
      </c>
      <c r="CA292" s="552">
        <f t="shared" si="29"/>
        <v>3</v>
      </c>
      <c r="CB292" s="552">
        <f t="shared" si="29"/>
        <v>3</v>
      </c>
      <c r="CC292" s="552">
        <f t="shared" si="29"/>
        <v>3</v>
      </c>
      <c r="CD292" s="552">
        <f t="shared" si="29"/>
        <v>3</v>
      </c>
      <c r="CE292" s="180"/>
      <c r="CF292" s="180"/>
      <c r="CG292" s="180"/>
      <c r="CH292" s="180"/>
      <c r="CI292" s="180"/>
      <c r="CJ292" s="180"/>
      <c r="CK292" s="180"/>
      <c r="CL292" s="180"/>
      <c r="CM292" s="180"/>
      <c r="CN292" s="180"/>
      <c r="CO292" s="180"/>
      <c r="CP292" s="180"/>
      <c r="CQ292" s="180"/>
      <c r="CR292" s="180"/>
      <c r="CS292" s="180"/>
      <c r="CT292" s="180"/>
      <c r="CU292" s="180"/>
      <c r="CV292" s="180"/>
      <c r="CW292" s="180"/>
      <c r="CX292" s="180"/>
      <c r="CY292" s="180"/>
      <c r="CZ292" s="180"/>
    </row>
    <row r="293" spans="1:104" x14ac:dyDescent="0.3">
      <c r="A293" s="552">
        <f>A249</f>
        <v>1067</v>
      </c>
      <c r="B293" s="552" t="str">
        <f t="shared" ref="B293:BM293" si="30">B249</f>
        <v>Was the finance officer or interim finance officer bonded pursuant to G.S. 159-29 which requires that the finance officer give a true accounting and faithful performance bond in an amount not less than the greater of (1) $50,000 or (2) an amount equal to</v>
      </c>
      <c r="C293" s="552">
        <f t="shared" si="30"/>
        <v>0</v>
      </c>
      <c r="D293" s="552">
        <f t="shared" si="30"/>
        <v>0</v>
      </c>
      <c r="E293" s="552">
        <f t="shared" si="30"/>
        <v>1</v>
      </c>
      <c r="F293" s="552">
        <f t="shared" si="30"/>
        <v>1</v>
      </c>
      <c r="G293" s="552">
        <f t="shared" si="30"/>
        <v>1</v>
      </c>
      <c r="H293" s="552">
        <f t="shared" si="30"/>
        <v>1</v>
      </c>
      <c r="I293" s="552">
        <f t="shared" si="30"/>
        <v>1</v>
      </c>
      <c r="J293" s="552">
        <f t="shared" si="30"/>
        <v>1</v>
      </c>
      <c r="K293" s="552">
        <f t="shared" si="30"/>
        <v>1</v>
      </c>
      <c r="L293" s="552">
        <f t="shared" si="30"/>
        <v>1</v>
      </c>
      <c r="M293" s="552">
        <f t="shared" si="30"/>
        <v>1</v>
      </c>
      <c r="N293" s="552">
        <f t="shared" si="30"/>
        <v>1</v>
      </c>
      <c r="O293" s="552">
        <f t="shared" si="30"/>
        <v>1</v>
      </c>
      <c r="P293" s="552">
        <f t="shared" si="30"/>
        <v>1</v>
      </c>
      <c r="Q293" s="552">
        <f t="shared" si="30"/>
        <v>1</v>
      </c>
      <c r="R293" s="552">
        <f t="shared" si="30"/>
        <v>1</v>
      </c>
      <c r="S293" s="552">
        <f t="shared" si="30"/>
        <v>1</v>
      </c>
      <c r="T293" s="552">
        <f t="shared" si="30"/>
        <v>1</v>
      </c>
      <c r="U293" s="552">
        <f t="shared" si="30"/>
        <v>1</v>
      </c>
      <c r="V293" s="552">
        <f t="shared" si="30"/>
        <v>1</v>
      </c>
      <c r="W293" s="552">
        <f t="shared" si="30"/>
        <v>1</v>
      </c>
      <c r="X293" s="552">
        <f t="shared" si="30"/>
        <v>1</v>
      </c>
      <c r="Y293" s="552">
        <f t="shared" si="30"/>
        <v>1</v>
      </c>
      <c r="Z293" s="552">
        <f t="shared" si="30"/>
        <v>1</v>
      </c>
      <c r="AA293" s="552">
        <f t="shared" si="30"/>
        <v>1</v>
      </c>
      <c r="AB293" s="552">
        <f t="shared" si="30"/>
        <v>1</v>
      </c>
      <c r="AC293" s="552">
        <f t="shared" si="30"/>
        <v>1</v>
      </c>
      <c r="AD293" s="552">
        <f t="shared" si="30"/>
        <v>1</v>
      </c>
      <c r="AE293" s="552">
        <f t="shared" si="30"/>
        <v>0</v>
      </c>
      <c r="AF293" s="552">
        <f t="shared" si="30"/>
        <v>1</v>
      </c>
      <c r="AG293" s="552">
        <f t="shared" si="30"/>
        <v>1</v>
      </c>
      <c r="AH293" s="552">
        <f t="shared" si="30"/>
        <v>1</v>
      </c>
      <c r="AI293" s="552">
        <f t="shared" si="30"/>
        <v>1</v>
      </c>
      <c r="AJ293" s="552">
        <f t="shared" si="30"/>
        <v>1</v>
      </c>
      <c r="AK293" s="552">
        <f t="shared" si="30"/>
        <v>1</v>
      </c>
      <c r="AL293" s="552">
        <f t="shared" si="30"/>
        <v>1</v>
      </c>
      <c r="AM293" s="552">
        <f t="shared" si="30"/>
        <v>1</v>
      </c>
      <c r="AN293" s="552">
        <f t="shared" si="30"/>
        <v>1</v>
      </c>
      <c r="AO293" s="552">
        <f t="shared" si="30"/>
        <v>1</v>
      </c>
      <c r="AP293" s="552">
        <f t="shared" si="30"/>
        <v>1</v>
      </c>
      <c r="AQ293" s="552">
        <f t="shared" si="30"/>
        <v>1</v>
      </c>
      <c r="AR293" s="552">
        <f t="shared" si="30"/>
        <v>1</v>
      </c>
      <c r="AS293" s="552">
        <f t="shared" si="30"/>
        <v>1</v>
      </c>
      <c r="AT293" s="552">
        <f t="shared" si="30"/>
        <v>1</v>
      </c>
      <c r="AU293" s="552">
        <f t="shared" si="30"/>
        <v>1</v>
      </c>
      <c r="AV293" s="552">
        <f t="shared" si="30"/>
        <v>1</v>
      </c>
      <c r="AW293" s="552">
        <f t="shared" si="30"/>
        <v>1</v>
      </c>
      <c r="AX293" s="552">
        <f t="shared" si="30"/>
        <v>1</v>
      </c>
      <c r="AY293" s="552">
        <f t="shared" si="30"/>
        <v>1</v>
      </c>
      <c r="AZ293" s="552">
        <f t="shared" si="30"/>
        <v>0</v>
      </c>
      <c r="BA293" s="552">
        <f t="shared" si="30"/>
        <v>2</v>
      </c>
      <c r="BB293" s="552">
        <f t="shared" si="30"/>
        <v>1</v>
      </c>
      <c r="BC293" s="552">
        <f t="shared" si="30"/>
        <v>1</v>
      </c>
      <c r="BD293" s="552">
        <f t="shared" si="30"/>
        <v>1</v>
      </c>
      <c r="BE293" s="552">
        <f t="shared" si="30"/>
        <v>1</v>
      </c>
      <c r="BF293" s="552">
        <f t="shared" si="30"/>
        <v>1</v>
      </c>
      <c r="BG293" s="552">
        <f t="shared" si="30"/>
        <v>1</v>
      </c>
      <c r="BH293" s="552">
        <f t="shared" si="30"/>
        <v>1</v>
      </c>
      <c r="BI293" s="552">
        <f t="shared" si="30"/>
        <v>1</v>
      </c>
      <c r="BJ293" s="552">
        <f t="shared" si="30"/>
        <v>1</v>
      </c>
      <c r="BK293" s="552">
        <f t="shared" si="30"/>
        <v>1</v>
      </c>
      <c r="BL293" s="552">
        <f t="shared" si="30"/>
        <v>1</v>
      </c>
      <c r="BM293" s="552">
        <f t="shared" si="30"/>
        <v>1</v>
      </c>
      <c r="BN293" s="552">
        <f t="shared" ref="BN293:BR293" si="31">BN249</f>
        <v>1</v>
      </c>
      <c r="BO293" s="552">
        <f t="shared" si="31"/>
        <v>1</v>
      </c>
      <c r="BP293" s="552">
        <f t="shared" si="31"/>
        <v>1</v>
      </c>
      <c r="BQ293" s="552">
        <f t="shared" si="31"/>
        <v>1</v>
      </c>
      <c r="BR293" s="552">
        <f t="shared" si="31"/>
        <v>1</v>
      </c>
      <c r="BS293" s="552">
        <f t="shared" ref="BS293:CD293" si="32">BS249</f>
        <v>1</v>
      </c>
      <c r="BT293" s="552">
        <f t="shared" si="32"/>
        <v>1</v>
      </c>
      <c r="BU293" s="552">
        <f t="shared" si="32"/>
        <v>1</v>
      </c>
      <c r="BV293" s="552">
        <f t="shared" si="32"/>
        <v>1</v>
      </c>
      <c r="BW293" s="552">
        <f t="shared" si="32"/>
        <v>1</v>
      </c>
      <c r="BX293" s="552">
        <f t="shared" si="32"/>
        <v>1</v>
      </c>
      <c r="BY293" s="552">
        <f t="shared" si="32"/>
        <v>1</v>
      </c>
      <c r="BZ293" s="552">
        <f t="shared" si="32"/>
        <v>2</v>
      </c>
      <c r="CA293" s="552">
        <f t="shared" si="32"/>
        <v>1</v>
      </c>
      <c r="CB293" s="552">
        <f t="shared" si="32"/>
        <v>1</v>
      </c>
      <c r="CC293" s="552">
        <f t="shared" si="32"/>
        <v>1</v>
      </c>
      <c r="CD293" s="552">
        <f t="shared" si="32"/>
        <v>1</v>
      </c>
      <c r="CE293" s="180"/>
      <c r="CF293" s="180"/>
      <c r="CG293" s="180"/>
      <c r="CH293" s="180"/>
      <c r="CI293" s="180"/>
      <c r="CJ293" s="180"/>
      <c r="CK293" s="180"/>
      <c r="CL293" s="180"/>
      <c r="CM293" s="180"/>
      <c r="CN293" s="180"/>
      <c r="CO293" s="180"/>
      <c r="CP293" s="180"/>
      <c r="CQ293" s="180"/>
      <c r="CR293" s="180"/>
      <c r="CS293" s="180"/>
      <c r="CT293" s="180"/>
      <c r="CU293" s="180"/>
      <c r="CV293" s="180"/>
      <c r="CW293" s="180"/>
      <c r="CX293" s="180"/>
      <c r="CY293" s="180"/>
      <c r="CZ293" s="180"/>
    </row>
    <row r="294" spans="1:104" x14ac:dyDescent="0.3">
      <c r="A294" s="552">
        <f>A207</f>
        <v>951</v>
      </c>
      <c r="B294" s="552" t="str">
        <f t="shared" ref="B294:BM294" si="33">B207</f>
        <v>TD-Is there a finding for lack of technical skills, knowledge and experience (SKE) at this unit?</v>
      </c>
      <c r="C294" s="552">
        <f t="shared" si="33"/>
        <v>0</v>
      </c>
      <c r="D294" s="552">
        <f t="shared" si="33"/>
        <v>0</v>
      </c>
      <c r="E294" s="552">
        <f t="shared" si="33"/>
        <v>2</v>
      </c>
      <c r="F294" s="552">
        <f t="shared" si="33"/>
        <v>2</v>
      </c>
      <c r="G294" s="552">
        <f t="shared" si="33"/>
        <v>2</v>
      </c>
      <c r="H294" s="552">
        <f t="shared" si="33"/>
        <v>1</v>
      </c>
      <c r="I294" s="552">
        <f t="shared" si="33"/>
        <v>2</v>
      </c>
      <c r="J294" s="552">
        <f t="shared" si="33"/>
        <v>1</v>
      </c>
      <c r="K294" s="552">
        <f t="shared" si="33"/>
        <v>2</v>
      </c>
      <c r="L294" s="552">
        <f t="shared" si="33"/>
        <v>2</v>
      </c>
      <c r="M294" s="552">
        <f t="shared" si="33"/>
        <v>2</v>
      </c>
      <c r="N294" s="552">
        <f t="shared" si="33"/>
        <v>2</v>
      </c>
      <c r="O294" s="552">
        <f t="shared" si="33"/>
        <v>2</v>
      </c>
      <c r="P294" s="552">
        <f t="shared" si="33"/>
        <v>2</v>
      </c>
      <c r="Q294" s="552">
        <f t="shared" si="33"/>
        <v>2</v>
      </c>
      <c r="R294" s="552">
        <f t="shared" si="33"/>
        <v>2</v>
      </c>
      <c r="S294" s="552">
        <f t="shared" si="33"/>
        <v>2</v>
      </c>
      <c r="T294" s="552">
        <f t="shared" si="33"/>
        <v>2</v>
      </c>
      <c r="U294" s="552">
        <f t="shared" si="33"/>
        <v>2</v>
      </c>
      <c r="V294" s="552">
        <f t="shared" si="33"/>
        <v>2</v>
      </c>
      <c r="W294" s="552">
        <f t="shared" si="33"/>
        <v>2</v>
      </c>
      <c r="X294" s="552">
        <f t="shared" si="33"/>
        <v>2</v>
      </c>
      <c r="Y294" s="552">
        <f t="shared" si="33"/>
        <v>1</v>
      </c>
      <c r="Z294" s="552">
        <f t="shared" si="33"/>
        <v>2</v>
      </c>
      <c r="AA294" s="552">
        <f t="shared" si="33"/>
        <v>2</v>
      </c>
      <c r="AB294" s="552">
        <f t="shared" si="33"/>
        <v>2</v>
      </c>
      <c r="AC294" s="552">
        <f t="shared" si="33"/>
        <v>2</v>
      </c>
      <c r="AD294" s="552">
        <f t="shared" si="33"/>
        <v>2</v>
      </c>
      <c r="AE294" s="552">
        <f t="shared" si="33"/>
        <v>0</v>
      </c>
      <c r="AF294" s="552">
        <f t="shared" si="33"/>
        <v>2</v>
      </c>
      <c r="AG294" s="552">
        <f t="shared" si="33"/>
        <v>2</v>
      </c>
      <c r="AH294" s="552">
        <f t="shared" si="33"/>
        <v>2</v>
      </c>
      <c r="AI294" s="552">
        <f t="shared" si="33"/>
        <v>2</v>
      </c>
      <c r="AJ294" s="552">
        <f t="shared" si="33"/>
        <v>2</v>
      </c>
      <c r="AK294" s="552">
        <f t="shared" si="33"/>
        <v>2</v>
      </c>
      <c r="AL294" s="552">
        <f t="shared" si="33"/>
        <v>2</v>
      </c>
      <c r="AM294" s="552">
        <f t="shared" si="33"/>
        <v>1</v>
      </c>
      <c r="AN294" s="552">
        <f t="shared" si="33"/>
        <v>2</v>
      </c>
      <c r="AO294" s="552">
        <f t="shared" si="33"/>
        <v>2</v>
      </c>
      <c r="AP294" s="552">
        <f t="shared" si="33"/>
        <v>2</v>
      </c>
      <c r="AQ294" s="552">
        <f t="shared" si="33"/>
        <v>2</v>
      </c>
      <c r="AR294" s="552">
        <f t="shared" si="33"/>
        <v>2</v>
      </c>
      <c r="AS294" s="552">
        <f t="shared" si="33"/>
        <v>2</v>
      </c>
      <c r="AT294" s="552">
        <f t="shared" si="33"/>
        <v>2</v>
      </c>
      <c r="AU294" s="552">
        <f t="shared" si="33"/>
        <v>2</v>
      </c>
      <c r="AV294" s="552">
        <f t="shared" si="33"/>
        <v>2</v>
      </c>
      <c r="AW294" s="552">
        <f t="shared" si="33"/>
        <v>2</v>
      </c>
      <c r="AX294" s="552">
        <f t="shared" si="33"/>
        <v>2</v>
      </c>
      <c r="AY294" s="552">
        <f t="shared" si="33"/>
        <v>2</v>
      </c>
      <c r="AZ294" s="552">
        <f t="shared" si="33"/>
        <v>0</v>
      </c>
      <c r="BA294" s="552">
        <f t="shared" si="33"/>
        <v>2</v>
      </c>
      <c r="BB294" s="552">
        <f t="shared" si="33"/>
        <v>2</v>
      </c>
      <c r="BC294" s="552">
        <f t="shared" si="33"/>
        <v>2</v>
      </c>
      <c r="BD294" s="552">
        <f t="shared" si="33"/>
        <v>2</v>
      </c>
      <c r="BE294" s="552">
        <f t="shared" si="33"/>
        <v>1</v>
      </c>
      <c r="BF294" s="552">
        <f t="shared" si="33"/>
        <v>2</v>
      </c>
      <c r="BG294" s="552">
        <f t="shared" si="33"/>
        <v>2</v>
      </c>
      <c r="BH294" s="552">
        <f t="shared" si="33"/>
        <v>2</v>
      </c>
      <c r="BI294" s="552">
        <f t="shared" si="33"/>
        <v>2</v>
      </c>
      <c r="BJ294" s="552">
        <f t="shared" si="33"/>
        <v>2</v>
      </c>
      <c r="BK294" s="552">
        <f t="shared" si="33"/>
        <v>2</v>
      </c>
      <c r="BL294" s="552">
        <f t="shared" si="33"/>
        <v>2</v>
      </c>
      <c r="BM294" s="552">
        <f t="shared" si="33"/>
        <v>2</v>
      </c>
      <c r="BN294" s="552">
        <f t="shared" ref="BN294:BR294" si="34">BN207</f>
        <v>2</v>
      </c>
      <c r="BO294" s="552">
        <f t="shared" si="34"/>
        <v>2</v>
      </c>
      <c r="BP294" s="552">
        <f t="shared" si="34"/>
        <v>2</v>
      </c>
      <c r="BQ294" s="552">
        <f t="shared" si="34"/>
        <v>2</v>
      </c>
      <c r="BR294" s="552">
        <f t="shared" si="34"/>
        <v>2</v>
      </c>
      <c r="BS294" s="552">
        <f t="shared" ref="BS294:CD294" si="35">BS207</f>
        <v>2</v>
      </c>
      <c r="BT294" s="552">
        <f t="shared" si="35"/>
        <v>2</v>
      </c>
      <c r="BU294" s="552">
        <f t="shared" si="35"/>
        <v>1</v>
      </c>
      <c r="BV294" s="552">
        <f t="shared" si="35"/>
        <v>2</v>
      </c>
      <c r="BW294" s="552">
        <f t="shared" si="35"/>
        <v>2</v>
      </c>
      <c r="BX294" s="552">
        <f t="shared" si="35"/>
        <v>2</v>
      </c>
      <c r="BY294" s="552">
        <f t="shared" si="35"/>
        <v>2</v>
      </c>
      <c r="BZ294" s="552">
        <f t="shared" si="35"/>
        <v>2</v>
      </c>
      <c r="CA294" s="552">
        <f t="shared" si="35"/>
        <v>2</v>
      </c>
      <c r="CB294" s="552">
        <f t="shared" si="35"/>
        <v>2</v>
      </c>
      <c r="CC294" s="552">
        <f t="shared" si="35"/>
        <v>2</v>
      </c>
      <c r="CD294" s="552">
        <f t="shared" si="35"/>
        <v>2</v>
      </c>
      <c r="CE294" s="180"/>
      <c r="CF294" s="180"/>
      <c r="CG294" s="180"/>
      <c r="CH294" s="180"/>
      <c r="CI294" s="180"/>
      <c r="CJ294" s="180"/>
      <c r="CK294" s="180"/>
      <c r="CL294" s="180"/>
      <c r="CM294" s="180"/>
      <c r="CN294" s="180"/>
      <c r="CO294" s="180"/>
      <c r="CP294" s="180"/>
      <c r="CQ294" s="180"/>
      <c r="CR294" s="180"/>
      <c r="CS294" s="180"/>
      <c r="CT294" s="180"/>
      <c r="CU294" s="180"/>
      <c r="CV294" s="180"/>
      <c r="CW294" s="180"/>
      <c r="CX294" s="180"/>
      <c r="CY294" s="180"/>
      <c r="CZ294" s="180"/>
    </row>
    <row r="295" spans="1:104" x14ac:dyDescent="0.3">
      <c r="A295" s="552">
        <f>A209</f>
        <v>953</v>
      </c>
      <c r="B295" s="552" t="str">
        <f t="shared" ref="B295:BM295" si="36">B209</f>
        <v>TD-Is there is a going concern finding noted in the audit report?</v>
      </c>
      <c r="C295" s="552">
        <f t="shared" si="36"/>
        <v>0</v>
      </c>
      <c r="D295" s="552">
        <f t="shared" si="36"/>
        <v>0</v>
      </c>
      <c r="E295" s="552">
        <f t="shared" si="36"/>
        <v>2</v>
      </c>
      <c r="F295" s="552">
        <f t="shared" si="36"/>
        <v>2</v>
      </c>
      <c r="G295" s="552">
        <f t="shared" si="36"/>
        <v>2</v>
      </c>
      <c r="H295" s="552">
        <f t="shared" si="36"/>
        <v>2</v>
      </c>
      <c r="I295" s="552">
        <f t="shared" si="36"/>
        <v>2</v>
      </c>
      <c r="J295" s="552">
        <f t="shared" si="36"/>
        <v>2</v>
      </c>
      <c r="K295" s="552">
        <f t="shared" si="36"/>
        <v>2</v>
      </c>
      <c r="L295" s="552">
        <f t="shared" si="36"/>
        <v>2</v>
      </c>
      <c r="M295" s="552">
        <f t="shared" si="36"/>
        <v>2</v>
      </c>
      <c r="N295" s="552">
        <f t="shared" si="36"/>
        <v>2</v>
      </c>
      <c r="O295" s="552">
        <f t="shared" si="36"/>
        <v>2</v>
      </c>
      <c r="P295" s="552">
        <f t="shared" si="36"/>
        <v>2</v>
      </c>
      <c r="Q295" s="552">
        <f t="shared" si="36"/>
        <v>2</v>
      </c>
      <c r="R295" s="552">
        <f t="shared" si="36"/>
        <v>2</v>
      </c>
      <c r="S295" s="552">
        <f t="shared" si="36"/>
        <v>2</v>
      </c>
      <c r="T295" s="552">
        <f t="shared" si="36"/>
        <v>2</v>
      </c>
      <c r="U295" s="552">
        <f t="shared" si="36"/>
        <v>2</v>
      </c>
      <c r="V295" s="552">
        <f t="shared" si="36"/>
        <v>2</v>
      </c>
      <c r="W295" s="552">
        <f t="shared" si="36"/>
        <v>2</v>
      </c>
      <c r="X295" s="552">
        <f t="shared" si="36"/>
        <v>2</v>
      </c>
      <c r="Y295" s="552">
        <f t="shared" si="36"/>
        <v>2</v>
      </c>
      <c r="Z295" s="552">
        <f t="shared" si="36"/>
        <v>2</v>
      </c>
      <c r="AA295" s="552">
        <f t="shared" si="36"/>
        <v>2</v>
      </c>
      <c r="AB295" s="552">
        <f t="shared" si="36"/>
        <v>2</v>
      </c>
      <c r="AC295" s="552">
        <f t="shared" si="36"/>
        <v>2</v>
      </c>
      <c r="AD295" s="552">
        <f t="shared" si="36"/>
        <v>2</v>
      </c>
      <c r="AE295" s="552">
        <f t="shared" si="36"/>
        <v>0</v>
      </c>
      <c r="AF295" s="552">
        <f t="shared" si="36"/>
        <v>2</v>
      </c>
      <c r="AG295" s="552">
        <f t="shared" si="36"/>
        <v>2</v>
      </c>
      <c r="AH295" s="552">
        <f t="shared" si="36"/>
        <v>2</v>
      </c>
      <c r="AI295" s="552">
        <f t="shared" si="36"/>
        <v>2</v>
      </c>
      <c r="AJ295" s="552">
        <f t="shared" si="36"/>
        <v>2</v>
      </c>
      <c r="AK295" s="552">
        <f t="shared" si="36"/>
        <v>2</v>
      </c>
      <c r="AL295" s="552">
        <f t="shared" si="36"/>
        <v>2</v>
      </c>
      <c r="AM295" s="552">
        <f t="shared" si="36"/>
        <v>2</v>
      </c>
      <c r="AN295" s="552">
        <f t="shared" si="36"/>
        <v>2</v>
      </c>
      <c r="AO295" s="552">
        <f t="shared" si="36"/>
        <v>2</v>
      </c>
      <c r="AP295" s="552">
        <f t="shared" si="36"/>
        <v>2</v>
      </c>
      <c r="AQ295" s="552">
        <f t="shared" si="36"/>
        <v>2</v>
      </c>
      <c r="AR295" s="552">
        <f t="shared" si="36"/>
        <v>2</v>
      </c>
      <c r="AS295" s="552">
        <f t="shared" si="36"/>
        <v>2</v>
      </c>
      <c r="AT295" s="552">
        <f t="shared" si="36"/>
        <v>2</v>
      </c>
      <c r="AU295" s="552">
        <f t="shared" si="36"/>
        <v>2</v>
      </c>
      <c r="AV295" s="552">
        <f t="shared" si="36"/>
        <v>2</v>
      </c>
      <c r="AW295" s="552">
        <f t="shared" si="36"/>
        <v>2</v>
      </c>
      <c r="AX295" s="552">
        <f t="shared" si="36"/>
        <v>2</v>
      </c>
      <c r="AY295" s="552">
        <f t="shared" si="36"/>
        <v>2</v>
      </c>
      <c r="AZ295" s="552">
        <f t="shared" si="36"/>
        <v>0</v>
      </c>
      <c r="BA295" s="552">
        <f t="shared" si="36"/>
        <v>2</v>
      </c>
      <c r="BB295" s="552">
        <f t="shared" si="36"/>
        <v>2</v>
      </c>
      <c r="BC295" s="552">
        <f t="shared" si="36"/>
        <v>2</v>
      </c>
      <c r="BD295" s="552">
        <f t="shared" si="36"/>
        <v>2</v>
      </c>
      <c r="BE295" s="552">
        <f t="shared" si="36"/>
        <v>2</v>
      </c>
      <c r="BF295" s="552">
        <f t="shared" si="36"/>
        <v>2</v>
      </c>
      <c r="BG295" s="552">
        <f t="shared" si="36"/>
        <v>2</v>
      </c>
      <c r="BH295" s="552">
        <f t="shared" si="36"/>
        <v>2</v>
      </c>
      <c r="BI295" s="552">
        <f t="shared" si="36"/>
        <v>2</v>
      </c>
      <c r="BJ295" s="552">
        <f t="shared" si="36"/>
        <v>2</v>
      </c>
      <c r="BK295" s="552">
        <f t="shared" si="36"/>
        <v>2</v>
      </c>
      <c r="BL295" s="552">
        <f t="shared" si="36"/>
        <v>2</v>
      </c>
      <c r="BM295" s="552">
        <f t="shared" si="36"/>
        <v>2</v>
      </c>
      <c r="BN295" s="552">
        <f t="shared" ref="BN295:BR295" si="37">BN209</f>
        <v>2</v>
      </c>
      <c r="BO295" s="552">
        <f t="shared" si="37"/>
        <v>2</v>
      </c>
      <c r="BP295" s="552">
        <f t="shared" si="37"/>
        <v>2</v>
      </c>
      <c r="BQ295" s="552">
        <f t="shared" si="37"/>
        <v>2</v>
      </c>
      <c r="BR295" s="552">
        <f t="shared" si="37"/>
        <v>2</v>
      </c>
      <c r="BS295" s="552">
        <f t="shared" ref="BS295:CD295" si="38">BS209</f>
        <v>2</v>
      </c>
      <c r="BT295" s="552">
        <f t="shared" si="38"/>
        <v>2</v>
      </c>
      <c r="BU295" s="552">
        <f t="shared" si="38"/>
        <v>2</v>
      </c>
      <c r="BV295" s="552">
        <f t="shared" si="38"/>
        <v>2</v>
      </c>
      <c r="BW295" s="552">
        <f t="shared" si="38"/>
        <v>2</v>
      </c>
      <c r="BX295" s="552">
        <f t="shared" si="38"/>
        <v>2</v>
      </c>
      <c r="BY295" s="552">
        <f t="shared" si="38"/>
        <v>2</v>
      </c>
      <c r="BZ295" s="552">
        <f t="shared" si="38"/>
        <v>2</v>
      </c>
      <c r="CA295" s="552">
        <f t="shared" si="38"/>
        <v>2</v>
      </c>
      <c r="CB295" s="552">
        <f t="shared" si="38"/>
        <v>2</v>
      </c>
      <c r="CC295" s="552">
        <f t="shared" si="38"/>
        <v>2</v>
      </c>
      <c r="CD295" s="552">
        <f t="shared" si="38"/>
        <v>2</v>
      </c>
      <c r="CE295" s="180"/>
      <c r="CF295" s="180"/>
      <c r="CG295" s="180"/>
      <c r="CH295" s="180"/>
      <c r="CI295" s="180"/>
      <c r="CJ295" s="180"/>
      <c r="CK295" s="180"/>
      <c r="CL295" s="180"/>
      <c r="CM295" s="180"/>
      <c r="CN295" s="180"/>
      <c r="CO295" s="180"/>
      <c r="CP295" s="180"/>
      <c r="CQ295" s="180"/>
      <c r="CR295" s="180"/>
      <c r="CS295" s="180"/>
      <c r="CT295" s="180"/>
      <c r="CU295" s="180"/>
      <c r="CV295" s="180"/>
      <c r="CW295" s="180"/>
      <c r="CX295" s="180"/>
      <c r="CY295" s="180"/>
      <c r="CZ295" s="180"/>
    </row>
    <row r="296" spans="1:104" x14ac:dyDescent="0.3">
      <c r="A296" s="552">
        <f>A210</f>
        <v>955</v>
      </c>
      <c r="B296" s="552" t="str">
        <f t="shared" ref="B296:BM296" si="39">B210</f>
        <v>TD-Number of significant deficiency findings (other than in Questions 10-13 )</v>
      </c>
      <c r="C296" s="552">
        <f t="shared" si="39"/>
        <v>0</v>
      </c>
      <c r="D296" s="552">
        <f t="shared" si="39"/>
        <v>0</v>
      </c>
      <c r="E296" s="552">
        <f t="shared" si="39"/>
        <v>0</v>
      </c>
      <c r="F296" s="552">
        <f t="shared" si="39"/>
        <v>0</v>
      </c>
      <c r="G296" s="552">
        <f t="shared" si="39"/>
        <v>0</v>
      </c>
      <c r="H296" s="552">
        <f t="shared" si="39"/>
        <v>0</v>
      </c>
      <c r="I296" s="552">
        <f t="shared" si="39"/>
        <v>0</v>
      </c>
      <c r="J296" s="552">
        <f t="shared" si="39"/>
        <v>0</v>
      </c>
      <c r="K296" s="552">
        <f t="shared" si="39"/>
        <v>0</v>
      </c>
      <c r="L296" s="552">
        <f t="shared" si="39"/>
        <v>0</v>
      </c>
      <c r="M296" s="552">
        <f t="shared" si="39"/>
        <v>1</v>
      </c>
      <c r="N296" s="552">
        <f t="shared" si="39"/>
        <v>0</v>
      </c>
      <c r="O296" s="552">
        <f t="shared" si="39"/>
        <v>0</v>
      </c>
      <c r="P296" s="552">
        <f t="shared" si="39"/>
        <v>0</v>
      </c>
      <c r="Q296" s="552">
        <f t="shared" si="39"/>
        <v>0</v>
      </c>
      <c r="R296" s="552">
        <f t="shared" si="39"/>
        <v>1</v>
      </c>
      <c r="S296" s="552">
        <f t="shared" si="39"/>
        <v>3</v>
      </c>
      <c r="T296" s="552">
        <f t="shared" si="39"/>
        <v>1</v>
      </c>
      <c r="U296" s="552">
        <f t="shared" si="39"/>
        <v>0</v>
      </c>
      <c r="V296" s="552">
        <f t="shared" si="39"/>
        <v>0</v>
      </c>
      <c r="W296" s="552">
        <f t="shared" si="39"/>
        <v>0</v>
      </c>
      <c r="X296" s="552">
        <f t="shared" si="39"/>
        <v>0</v>
      </c>
      <c r="Y296" s="552">
        <f t="shared" si="39"/>
        <v>1</v>
      </c>
      <c r="Z296" s="552">
        <f t="shared" si="39"/>
        <v>0</v>
      </c>
      <c r="AA296" s="552">
        <f t="shared" si="39"/>
        <v>0</v>
      </c>
      <c r="AB296" s="552">
        <f t="shared" si="39"/>
        <v>1</v>
      </c>
      <c r="AC296" s="552">
        <f t="shared" si="39"/>
        <v>0</v>
      </c>
      <c r="AD296" s="552">
        <f t="shared" si="39"/>
        <v>0</v>
      </c>
      <c r="AE296" s="552">
        <f t="shared" si="39"/>
        <v>0</v>
      </c>
      <c r="AF296" s="552">
        <f t="shared" si="39"/>
        <v>0</v>
      </c>
      <c r="AG296" s="552">
        <f t="shared" si="39"/>
        <v>0</v>
      </c>
      <c r="AH296" s="552">
        <f t="shared" si="39"/>
        <v>2</v>
      </c>
      <c r="AI296" s="552">
        <f t="shared" si="39"/>
        <v>0</v>
      </c>
      <c r="AJ296" s="552">
        <f t="shared" si="39"/>
        <v>0</v>
      </c>
      <c r="AK296" s="552">
        <f t="shared" si="39"/>
        <v>0</v>
      </c>
      <c r="AL296" s="552">
        <f t="shared" si="39"/>
        <v>0</v>
      </c>
      <c r="AM296" s="552">
        <f t="shared" si="39"/>
        <v>1</v>
      </c>
      <c r="AN296" s="552">
        <f t="shared" si="39"/>
        <v>0</v>
      </c>
      <c r="AO296" s="552">
        <f t="shared" si="39"/>
        <v>0</v>
      </c>
      <c r="AP296" s="552">
        <f t="shared" si="39"/>
        <v>0</v>
      </c>
      <c r="AQ296" s="552">
        <f t="shared" si="39"/>
        <v>0</v>
      </c>
      <c r="AR296" s="552">
        <f t="shared" si="39"/>
        <v>0</v>
      </c>
      <c r="AS296" s="552">
        <f t="shared" si="39"/>
        <v>1</v>
      </c>
      <c r="AT296" s="552">
        <f t="shared" si="39"/>
        <v>0</v>
      </c>
      <c r="AU296" s="552">
        <f t="shared" si="39"/>
        <v>0</v>
      </c>
      <c r="AV296" s="552">
        <f t="shared" si="39"/>
        <v>0</v>
      </c>
      <c r="AW296" s="552">
        <f t="shared" si="39"/>
        <v>1</v>
      </c>
      <c r="AX296" s="552">
        <f t="shared" si="39"/>
        <v>1</v>
      </c>
      <c r="AY296" s="552">
        <f t="shared" si="39"/>
        <v>1</v>
      </c>
      <c r="AZ296" s="552">
        <f t="shared" si="39"/>
        <v>0</v>
      </c>
      <c r="BA296" s="552">
        <f t="shared" si="39"/>
        <v>4</v>
      </c>
      <c r="BB296" s="552">
        <f t="shared" si="39"/>
        <v>0</v>
      </c>
      <c r="BC296" s="552">
        <f t="shared" si="39"/>
        <v>0</v>
      </c>
      <c r="BD296" s="552">
        <f t="shared" si="39"/>
        <v>1</v>
      </c>
      <c r="BE296" s="552">
        <f t="shared" si="39"/>
        <v>0</v>
      </c>
      <c r="BF296" s="552">
        <f t="shared" si="39"/>
        <v>0</v>
      </c>
      <c r="BG296" s="552">
        <f t="shared" si="39"/>
        <v>0</v>
      </c>
      <c r="BH296" s="552">
        <f t="shared" si="39"/>
        <v>0</v>
      </c>
      <c r="BI296" s="552">
        <f t="shared" si="39"/>
        <v>0</v>
      </c>
      <c r="BJ296" s="552">
        <f t="shared" si="39"/>
        <v>0</v>
      </c>
      <c r="BK296" s="552">
        <f t="shared" si="39"/>
        <v>0</v>
      </c>
      <c r="BL296" s="552">
        <f t="shared" si="39"/>
        <v>0</v>
      </c>
      <c r="BM296" s="552">
        <f t="shared" si="39"/>
        <v>0</v>
      </c>
      <c r="BN296" s="552">
        <f t="shared" ref="BN296:BR296" si="40">BN210</f>
        <v>0</v>
      </c>
      <c r="BO296" s="552">
        <f t="shared" si="40"/>
        <v>0</v>
      </c>
      <c r="BP296" s="552">
        <f t="shared" si="40"/>
        <v>1</v>
      </c>
      <c r="BQ296" s="552">
        <f t="shared" si="40"/>
        <v>0</v>
      </c>
      <c r="BR296" s="552">
        <f t="shared" si="40"/>
        <v>1</v>
      </c>
      <c r="BS296" s="552">
        <f t="shared" ref="BS296:CD296" si="41">BS210</f>
        <v>2</v>
      </c>
      <c r="BT296" s="552">
        <f t="shared" si="41"/>
        <v>0</v>
      </c>
      <c r="BU296" s="552">
        <f t="shared" si="41"/>
        <v>3</v>
      </c>
      <c r="BV296" s="552">
        <f t="shared" si="41"/>
        <v>0</v>
      </c>
      <c r="BW296" s="552">
        <f t="shared" si="41"/>
        <v>0</v>
      </c>
      <c r="BX296" s="552">
        <f t="shared" si="41"/>
        <v>0</v>
      </c>
      <c r="BY296" s="552">
        <f t="shared" si="41"/>
        <v>0</v>
      </c>
      <c r="BZ296" s="552">
        <f t="shared" si="41"/>
        <v>5</v>
      </c>
      <c r="CA296" s="552">
        <f t="shared" si="41"/>
        <v>0</v>
      </c>
      <c r="CB296" s="552">
        <f t="shared" si="41"/>
        <v>0</v>
      </c>
      <c r="CC296" s="552">
        <f t="shared" si="41"/>
        <v>0</v>
      </c>
      <c r="CD296" s="552">
        <f t="shared" si="41"/>
        <v>0</v>
      </c>
      <c r="CE296" s="180"/>
      <c r="CF296" s="180"/>
      <c r="CG296" s="180"/>
      <c r="CH296" s="180"/>
      <c r="CI296" s="180"/>
      <c r="CJ296" s="180"/>
      <c r="CK296" s="180"/>
      <c r="CL296" s="180"/>
      <c r="CM296" s="180"/>
      <c r="CN296" s="180"/>
      <c r="CO296" s="180"/>
      <c r="CP296" s="180"/>
      <c r="CQ296" s="180"/>
      <c r="CR296" s="180"/>
      <c r="CS296" s="180"/>
      <c r="CT296" s="180"/>
      <c r="CU296" s="180"/>
      <c r="CV296" s="180"/>
      <c r="CW296" s="180"/>
      <c r="CX296" s="180"/>
      <c r="CY296" s="180"/>
      <c r="CZ296" s="180"/>
    </row>
    <row r="297" spans="1:104" x14ac:dyDescent="0.3">
      <c r="A297" s="552">
        <f>A211</f>
        <v>957</v>
      </c>
      <c r="B297" s="552" t="str">
        <f t="shared" ref="B297:BM297" si="42">B211</f>
        <v>TD-Number of material weaknesses findings (other than in Questions 10-13)</v>
      </c>
      <c r="C297" s="552">
        <f t="shared" si="42"/>
        <v>0</v>
      </c>
      <c r="D297" s="552">
        <f t="shared" si="42"/>
        <v>0</v>
      </c>
      <c r="E297" s="552">
        <f t="shared" si="42"/>
        <v>1</v>
      </c>
      <c r="F297" s="552">
        <f t="shared" si="42"/>
        <v>0</v>
      </c>
      <c r="G297" s="552">
        <f t="shared" si="42"/>
        <v>0</v>
      </c>
      <c r="H297" s="552">
        <f t="shared" si="42"/>
        <v>0</v>
      </c>
      <c r="I297" s="552">
        <f t="shared" si="42"/>
        <v>0</v>
      </c>
      <c r="J297" s="552">
        <f t="shared" si="42"/>
        <v>0</v>
      </c>
      <c r="K297" s="552">
        <f t="shared" si="42"/>
        <v>0</v>
      </c>
      <c r="L297" s="552">
        <f t="shared" si="42"/>
        <v>0</v>
      </c>
      <c r="M297" s="552">
        <f t="shared" si="42"/>
        <v>0</v>
      </c>
      <c r="N297" s="552">
        <f t="shared" si="42"/>
        <v>0</v>
      </c>
      <c r="O297" s="552">
        <f t="shared" si="42"/>
        <v>0</v>
      </c>
      <c r="P297" s="552">
        <f t="shared" si="42"/>
        <v>0</v>
      </c>
      <c r="Q297" s="552">
        <f t="shared" si="42"/>
        <v>0</v>
      </c>
      <c r="R297" s="552">
        <f t="shared" si="42"/>
        <v>0</v>
      </c>
      <c r="S297" s="552">
        <f t="shared" si="42"/>
        <v>0</v>
      </c>
      <c r="T297" s="552">
        <f t="shared" si="42"/>
        <v>0</v>
      </c>
      <c r="U297" s="552">
        <f t="shared" si="42"/>
        <v>0</v>
      </c>
      <c r="V297" s="552">
        <f t="shared" si="42"/>
        <v>1</v>
      </c>
      <c r="W297" s="552">
        <f t="shared" si="42"/>
        <v>0</v>
      </c>
      <c r="X297" s="552">
        <f t="shared" si="42"/>
        <v>0</v>
      </c>
      <c r="Y297" s="552">
        <f t="shared" si="42"/>
        <v>1</v>
      </c>
      <c r="Z297" s="552">
        <f t="shared" si="42"/>
        <v>0</v>
      </c>
      <c r="AA297" s="552">
        <f t="shared" si="42"/>
        <v>0</v>
      </c>
      <c r="AB297" s="552">
        <f t="shared" si="42"/>
        <v>0</v>
      </c>
      <c r="AC297" s="552">
        <f t="shared" si="42"/>
        <v>0</v>
      </c>
      <c r="AD297" s="552">
        <f t="shared" si="42"/>
        <v>0</v>
      </c>
      <c r="AE297" s="552">
        <f t="shared" si="42"/>
        <v>0</v>
      </c>
      <c r="AF297" s="552">
        <f t="shared" si="42"/>
        <v>0</v>
      </c>
      <c r="AG297" s="552">
        <f t="shared" si="42"/>
        <v>0</v>
      </c>
      <c r="AH297" s="552">
        <f t="shared" si="42"/>
        <v>1</v>
      </c>
      <c r="AI297" s="552">
        <f t="shared" si="42"/>
        <v>0</v>
      </c>
      <c r="AJ297" s="552">
        <f t="shared" si="42"/>
        <v>0</v>
      </c>
      <c r="AK297" s="552">
        <f t="shared" si="42"/>
        <v>3</v>
      </c>
      <c r="AL297" s="552">
        <f t="shared" si="42"/>
        <v>0</v>
      </c>
      <c r="AM297" s="552">
        <f t="shared" si="42"/>
        <v>1</v>
      </c>
      <c r="AN297" s="552">
        <f t="shared" si="42"/>
        <v>0</v>
      </c>
      <c r="AO297" s="552">
        <f t="shared" si="42"/>
        <v>0</v>
      </c>
      <c r="AP297" s="552">
        <f t="shared" si="42"/>
        <v>0</v>
      </c>
      <c r="AQ297" s="552">
        <f t="shared" si="42"/>
        <v>0</v>
      </c>
      <c r="AR297" s="552">
        <f t="shared" si="42"/>
        <v>0</v>
      </c>
      <c r="AS297" s="552">
        <f t="shared" si="42"/>
        <v>0</v>
      </c>
      <c r="AT297" s="552">
        <f t="shared" si="42"/>
        <v>0</v>
      </c>
      <c r="AU297" s="552">
        <f t="shared" si="42"/>
        <v>0</v>
      </c>
      <c r="AV297" s="552">
        <f t="shared" si="42"/>
        <v>0</v>
      </c>
      <c r="AW297" s="552">
        <f t="shared" si="42"/>
        <v>0</v>
      </c>
      <c r="AX297" s="552">
        <f t="shared" si="42"/>
        <v>1</v>
      </c>
      <c r="AY297" s="552">
        <f t="shared" si="42"/>
        <v>0</v>
      </c>
      <c r="AZ297" s="552">
        <f t="shared" si="42"/>
        <v>0</v>
      </c>
      <c r="BA297" s="552">
        <f t="shared" si="42"/>
        <v>0</v>
      </c>
      <c r="BB297" s="552">
        <f t="shared" si="42"/>
        <v>0</v>
      </c>
      <c r="BC297" s="552">
        <f t="shared" si="42"/>
        <v>0</v>
      </c>
      <c r="BD297" s="552">
        <f t="shared" si="42"/>
        <v>0</v>
      </c>
      <c r="BE297" s="552">
        <f t="shared" si="42"/>
        <v>0</v>
      </c>
      <c r="BF297" s="552">
        <f t="shared" si="42"/>
        <v>0</v>
      </c>
      <c r="BG297" s="552">
        <f t="shared" si="42"/>
        <v>0</v>
      </c>
      <c r="BH297" s="552">
        <f t="shared" si="42"/>
        <v>0</v>
      </c>
      <c r="BI297" s="552">
        <f t="shared" si="42"/>
        <v>2</v>
      </c>
      <c r="BJ297" s="552">
        <f t="shared" si="42"/>
        <v>0</v>
      </c>
      <c r="BK297" s="552">
        <f t="shared" si="42"/>
        <v>0</v>
      </c>
      <c r="BL297" s="552">
        <f t="shared" si="42"/>
        <v>0</v>
      </c>
      <c r="BM297" s="552">
        <f t="shared" si="42"/>
        <v>0</v>
      </c>
      <c r="BN297" s="552">
        <f t="shared" ref="BN297:BR297" si="43">BN211</f>
        <v>1</v>
      </c>
      <c r="BO297" s="552">
        <f t="shared" si="43"/>
        <v>2</v>
      </c>
      <c r="BP297" s="552">
        <f t="shared" si="43"/>
        <v>0</v>
      </c>
      <c r="BQ297" s="552">
        <f t="shared" si="43"/>
        <v>0</v>
      </c>
      <c r="BR297" s="552">
        <f t="shared" si="43"/>
        <v>1</v>
      </c>
      <c r="BS297" s="552">
        <f t="shared" ref="BS297:CD297" si="44">BS211</f>
        <v>0</v>
      </c>
      <c r="BT297" s="552">
        <f t="shared" si="44"/>
        <v>1</v>
      </c>
      <c r="BU297" s="552">
        <f t="shared" si="44"/>
        <v>0</v>
      </c>
      <c r="BV297" s="552">
        <f t="shared" si="44"/>
        <v>0</v>
      </c>
      <c r="BW297" s="552">
        <f t="shared" si="44"/>
        <v>0</v>
      </c>
      <c r="BX297" s="552">
        <f t="shared" si="44"/>
        <v>0</v>
      </c>
      <c r="BY297" s="552">
        <f t="shared" si="44"/>
        <v>0</v>
      </c>
      <c r="BZ297" s="552">
        <f t="shared" si="44"/>
        <v>0</v>
      </c>
      <c r="CA297" s="552">
        <f t="shared" si="44"/>
        <v>0</v>
      </c>
      <c r="CB297" s="552">
        <f t="shared" si="44"/>
        <v>0</v>
      </c>
      <c r="CC297" s="552">
        <f t="shared" si="44"/>
        <v>0</v>
      </c>
      <c r="CD297" s="552">
        <f t="shared" si="44"/>
        <v>0</v>
      </c>
      <c r="CE297" s="180"/>
      <c r="CF297" s="180"/>
      <c r="CG297" s="180"/>
      <c r="CH297" s="180"/>
      <c r="CI297" s="180"/>
      <c r="CJ297" s="180"/>
      <c r="CK297" s="180"/>
      <c r="CL297" s="180"/>
      <c r="CM297" s="180"/>
      <c r="CN297" s="180"/>
      <c r="CO297" s="180"/>
      <c r="CP297" s="180"/>
      <c r="CQ297" s="180"/>
      <c r="CR297" s="180"/>
      <c r="CS297" s="180"/>
      <c r="CT297" s="180"/>
      <c r="CU297" s="180"/>
      <c r="CV297" s="180"/>
      <c r="CW297" s="180"/>
      <c r="CX297" s="180"/>
      <c r="CY297" s="180"/>
      <c r="CZ297" s="180"/>
    </row>
    <row r="298" spans="1:104" x14ac:dyDescent="0.3">
      <c r="A298" s="552">
        <f>A218</f>
        <v>973</v>
      </c>
      <c r="B298" s="552" t="str">
        <f t="shared" ref="B298:BM298" si="45">B218</f>
        <v>Were there any issues or other matters presented to the Governing Board regarding internal controls (not already listed as a material weakness or significant deficiency?</v>
      </c>
      <c r="C298" s="552">
        <f t="shared" si="45"/>
        <v>0</v>
      </c>
      <c r="D298" s="552">
        <f t="shared" si="45"/>
        <v>0</v>
      </c>
      <c r="E298" s="552">
        <f t="shared" si="45"/>
        <v>0</v>
      </c>
      <c r="F298" s="552">
        <f t="shared" si="45"/>
        <v>0</v>
      </c>
      <c r="G298" s="552">
        <f t="shared" si="45"/>
        <v>0</v>
      </c>
      <c r="H298" s="552">
        <f t="shared" si="45"/>
        <v>0</v>
      </c>
      <c r="I298" s="552">
        <f t="shared" si="45"/>
        <v>0</v>
      </c>
      <c r="J298" s="552">
        <f t="shared" si="45"/>
        <v>0</v>
      </c>
      <c r="K298" s="552">
        <f t="shared" si="45"/>
        <v>0</v>
      </c>
      <c r="L298" s="552">
        <f t="shared" si="45"/>
        <v>0</v>
      </c>
      <c r="M298" s="552">
        <f t="shared" si="45"/>
        <v>0</v>
      </c>
      <c r="N298" s="552">
        <f t="shared" si="45"/>
        <v>0</v>
      </c>
      <c r="O298" s="552">
        <f t="shared" si="45"/>
        <v>0</v>
      </c>
      <c r="P298" s="552">
        <f t="shared" si="45"/>
        <v>0</v>
      </c>
      <c r="Q298" s="552">
        <f t="shared" si="45"/>
        <v>1</v>
      </c>
      <c r="R298" s="552">
        <f t="shared" si="45"/>
        <v>0</v>
      </c>
      <c r="S298" s="552">
        <f t="shared" si="45"/>
        <v>0</v>
      </c>
      <c r="T298" s="552">
        <f t="shared" si="45"/>
        <v>0</v>
      </c>
      <c r="U298" s="552">
        <f t="shared" si="45"/>
        <v>0</v>
      </c>
      <c r="V298" s="552">
        <f t="shared" si="45"/>
        <v>0</v>
      </c>
      <c r="W298" s="552">
        <f t="shared" si="45"/>
        <v>0</v>
      </c>
      <c r="X298" s="552">
        <f t="shared" si="45"/>
        <v>0</v>
      </c>
      <c r="Y298" s="552">
        <f t="shared" si="45"/>
        <v>1</v>
      </c>
      <c r="Z298" s="552">
        <f t="shared" si="45"/>
        <v>0</v>
      </c>
      <c r="AA298" s="552">
        <f t="shared" si="45"/>
        <v>0</v>
      </c>
      <c r="AB298" s="552">
        <f t="shared" si="45"/>
        <v>0</v>
      </c>
      <c r="AC298" s="552">
        <f t="shared" si="45"/>
        <v>0</v>
      </c>
      <c r="AD298" s="552">
        <f t="shared" si="45"/>
        <v>0</v>
      </c>
      <c r="AE298" s="552">
        <f t="shared" si="45"/>
        <v>0</v>
      </c>
      <c r="AF298" s="552">
        <f t="shared" si="45"/>
        <v>0</v>
      </c>
      <c r="AG298" s="552">
        <f t="shared" si="45"/>
        <v>0</v>
      </c>
      <c r="AH298" s="552">
        <f t="shared" si="45"/>
        <v>0</v>
      </c>
      <c r="AI298" s="552">
        <f t="shared" si="45"/>
        <v>0</v>
      </c>
      <c r="AJ298" s="552">
        <f t="shared" si="45"/>
        <v>0</v>
      </c>
      <c r="AK298" s="552">
        <f t="shared" si="45"/>
        <v>0</v>
      </c>
      <c r="AL298" s="552">
        <f t="shared" si="45"/>
        <v>0</v>
      </c>
      <c r="AM298" s="552">
        <f t="shared" si="45"/>
        <v>0</v>
      </c>
      <c r="AN298" s="552">
        <f t="shared" si="45"/>
        <v>0</v>
      </c>
      <c r="AO298" s="552">
        <f t="shared" si="45"/>
        <v>0</v>
      </c>
      <c r="AP298" s="552">
        <f t="shared" si="45"/>
        <v>0</v>
      </c>
      <c r="AQ298" s="552">
        <f t="shared" si="45"/>
        <v>0</v>
      </c>
      <c r="AR298" s="552">
        <f t="shared" si="45"/>
        <v>0</v>
      </c>
      <c r="AS298" s="552">
        <f t="shared" si="45"/>
        <v>0</v>
      </c>
      <c r="AT298" s="552">
        <f t="shared" si="45"/>
        <v>0</v>
      </c>
      <c r="AU298" s="552">
        <f t="shared" si="45"/>
        <v>0</v>
      </c>
      <c r="AV298" s="552">
        <f t="shared" si="45"/>
        <v>0</v>
      </c>
      <c r="AW298" s="552">
        <f t="shared" si="45"/>
        <v>0</v>
      </c>
      <c r="AX298" s="552">
        <f t="shared" si="45"/>
        <v>0</v>
      </c>
      <c r="AY298" s="552">
        <f t="shared" si="45"/>
        <v>0</v>
      </c>
      <c r="AZ298" s="552">
        <f t="shared" si="45"/>
        <v>0</v>
      </c>
      <c r="BA298" s="552">
        <f t="shared" si="45"/>
        <v>0</v>
      </c>
      <c r="BB298" s="552">
        <f t="shared" si="45"/>
        <v>0</v>
      </c>
      <c r="BC298" s="552">
        <f t="shared" si="45"/>
        <v>0</v>
      </c>
      <c r="BD298" s="552">
        <f t="shared" si="45"/>
        <v>0</v>
      </c>
      <c r="BE298" s="552">
        <f t="shared" si="45"/>
        <v>0</v>
      </c>
      <c r="BF298" s="552">
        <f t="shared" si="45"/>
        <v>0</v>
      </c>
      <c r="BG298" s="552">
        <f t="shared" si="45"/>
        <v>0</v>
      </c>
      <c r="BH298" s="552">
        <f t="shared" si="45"/>
        <v>0</v>
      </c>
      <c r="BI298" s="552">
        <f t="shared" si="45"/>
        <v>0</v>
      </c>
      <c r="BJ298" s="552">
        <f t="shared" si="45"/>
        <v>0</v>
      </c>
      <c r="BK298" s="552">
        <f t="shared" si="45"/>
        <v>0</v>
      </c>
      <c r="BL298" s="552">
        <f t="shared" si="45"/>
        <v>0</v>
      </c>
      <c r="BM298" s="552">
        <f t="shared" si="45"/>
        <v>0</v>
      </c>
      <c r="BN298" s="552">
        <f t="shared" ref="BN298:BR298" si="46">BN218</f>
        <v>0</v>
      </c>
      <c r="BO298" s="552">
        <f t="shared" si="46"/>
        <v>0</v>
      </c>
      <c r="BP298" s="552">
        <f t="shared" si="46"/>
        <v>0</v>
      </c>
      <c r="BQ298" s="552">
        <f t="shared" si="46"/>
        <v>0</v>
      </c>
      <c r="BR298" s="552">
        <f t="shared" si="46"/>
        <v>0</v>
      </c>
      <c r="BS298" s="552">
        <f t="shared" ref="BS298:CD298" si="47">BS218</f>
        <v>0</v>
      </c>
      <c r="BT298" s="552">
        <f t="shared" si="47"/>
        <v>0</v>
      </c>
      <c r="BU298" s="552">
        <f t="shared" si="47"/>
        <v>0</v>
      </c>
      <c r="BV298" s="552">
        <f t="shared" si="47"/>
        <v>1</v>
      </c>
      <c r="BW298" s="552">
        <f t="shared" si="47"/>
        <v>0</v>
      </c>
      <c r="BX298" s="552">
        <f t="shared" si="47"/>
        <v>0</v>
      </c>
      <c r="BY298" s="552">
        <f t="shared" si="47"/>
        <v>0</v>
      </c>
      <c r="BZ298" s="552">
        <f t="shared" si="47"/>
        <v>1</v>
      </c>
      <c r="CA298" s="552">
        <f t="shared" si="47"/>
        <v>0</v>
      </c>
      <c r="CB298" s="552">
        <f t="shared" si="47"/>
        <v>0</v>
      </c>
      <c r="CC298" s="552">
        <f t="shared" si="47"/>
        <v>0</v>
      </c>
      <c r="CD298" s="552">
        <f t="shared" si="47"/>
        <v>0</v>
      </c>
      <c r="CE298" s="180"/>
      <c r="CF298" s="180"/>
      <c r="CG298" s="180"/>
      <c r="CH298" s="180"/>
      <c r="CI298" s="180"/>
      <c r="CJ298" s="180"/>
      <c r="CK298" s="180"/>
      <c r="CL298" s="180"/>
      <c r="CM298" s="180"/>
      <c r="CN298" s="180"/>
      <c r="CO298" s="180"/>
      <c r="CP298" s="180"/>
      <c r="CQ298" s="180"/>
      <c r="CR298" s="180"/>
      <c r="CS298" s="180"/>
      <c r="CT298" s="180"/>
      <c r="CU298" s="180"/>
      <c r="CV298" s="180"/>
      <c r="CW298" s="180"/>
      <c r="CX298" s="180"/>
      <c r="CY298" s="180"/>
      <c r="CZ298" s="180"/>
    </row>
    <row r="299" spans="1:104" x14ac:dyDescent="0.3">
      <c r="A299" s="552">
        <f>A212</f>
        <v>959</v>
      </c>
      <c r="B299" s="552" t="str">
        <f t="shared" ref="B299:BM299" si="48">B212</f>
        <v>TD-Did unit have their debt service payments restructured in this fiscal year? (does not include refinancings designed to take advantage of lower interest rates)</v>
      </c>
      <c r="C299" s="552">
        <f t="shared" si="48"/>
        <v>0</v>
      </c>
      <c r="D299" s="552">
        <f t="shared" si="48"/>
        <v>0</v>
      </c>
      <c r="E299" s="552">
        <f t="shared" si="48"/>
        <v>2</v>
      </c>
      <c r="F299" s="552">
        <f t="shared" si="48"/>
        <v>2</v>
      </c>
      <c r="G299" s="552">
        <f t="shared" si="48"/>
        <v>2</v>
      </c>
      <c r="H299" s="552">
        <f t="shared" si="48"/>
        <v>2</v>
      </c>
      <c r="I299" s="552">
        <f t="shared" si="48"/>
        <v>2</v>
      </c>
      <c r="J299" s="552">
        <f t="shared" si="48"/>
        <v>3</v>
      </c>
      <c r="K299" s="552">
        <f t="shared" si="48"/>
        <v>2</v>
      </c>
      <c r="L299" s="552">
        <f t="shared" si="48"/>
        <v>2</v>
      </c>
      <c r="M299" s="552">
        <f t="shared" si="48"/>
        <v>2</v>
      </c>
      <c r="N299" s="552">
        <f t="shared" si="48"/>
        <v>3</v>
      </c>
      <c r="O299" s="552">
        <f t="shared" si="48"/>
        <v>2</v>
      </c>
      <c r="P299" s="552">
        <f t="shared" si="48"/>
        <v>3</v>
      </c>
      <c r="Q299" s="552">
        <f t="shared" si="48"/>
        <v>2</v>
      </c>
      <c r="R299" s="552">
        <f t="shared" si="48"/>
        <v>3</v>
      </c>
      <c r="S299" s="552">
        <f t="shared" si="48"/>
        <v>2</v>
      </c>
      <c r="T299" s="552">
        <f t="shared" si="48"/>
        <v>2</v>
      </c>
      <c r="U299" s="552">
        <f t="shared" si="48"/>
        <v>2</v>
      </c>
      <c r="V299" s="552">
        <f t="shared" si="48"/>
        <v>2</v>
      </c>
      <c r="W299" s="552">
        <f t="shared" si="48"/>
        <v>2</v>
      </c>
      <c r="X299" s="552">
        <f t="shared" si="48"/>
        <v>3</v>
      </c>
      <c r="Y299" s="552">
        <f t="shared" si="48"/>
        <v>2</v>
      </c>
      <c r="Z299" s="552">
        <f t="shared" si="48"/>
        <v>2</v>
      </c>
      <c r="AA299" s="552">
        <f t="shared" si="48"/>
        <v>3</v>
      </c>
      <c r="AB299" s="552">
        <f t="shared" si="48"/>
        <v>2</v>
      </c>
      <c r="AC299" s="552">
        <f t="shared" si="48"/>
        <v>2</v>
      </c>
      <c r="AD299" s="552">
        <f t="shared" si="48"/>
        <v>2</v>
      </c>
      <c r="AE299" s="552">
        <f t="shared" si="48"/>
        <v>0</v>
      </c>
      <c r="AF299" s="552">
        <f t="shared" si="48"/>
        <v>2</v>
      </c>
      <c r="AG299" s="552">
        <f t="shared" si="48"/>
        <v>3</v>
      </c>
      <c r="AH299" s="552">
        <f t="shared" si="48"/>
        <v>3</v>
      </c>
      <c r="AI299" s="552">
        <f t="shared" si="48"/>
        <v>2</v>
      </c>
      <c r="AJ299" s="552">
        <f t="shared" si="48"/>
        <v>2</v>
      </c>
      <c r="AK299" s="552">
        <f t="shared" si="48"/>
        <v>2</v>
      </c>
      <c r="AL299" s="552">
        <f t="shared" si="48"/>
        <v>2</v>
      </c>
      <c r="AM299" s="552">
        <f t="shared" si="48"/>
        <v>2</v>
      </c>
      <c r="AN299" s="552">
        <f t="shared" si="48"/>
        <v>2</v>
      </c>
      <c r="AO299" s="552">
        <f t="shared" si="48"/>
        <v>3</v>
      </c>
      <c r="AP299" s="552">
        <f t="shared" si="48"/>
        <v>2</v>
      </c>
      <c r="AQ299" s="552">
        <f t="shared" si="48"/>
        <v>2</v>
      </c>
      <c r="AR299" s="552">
        <f t="shared" si="48"/>
        <v>3</v>
      </c>
      <c r="AS299" s="552">
        <f t="shared" si="48"/>
        <v>2</v>
      </c>
      <c r="AT299" s="552">
        <f t="shared" si="48"/>
        <v>2</v>
      </c>
      <c r="AU299" s="552">
        <f t="shared" si="48"/>
        <v>2</v>
      </c>
      <c r="AV299" s="552">
        <f t="shared" si="48"/>
        <v>2</v>
      </c>
      <c r="AW299" s="552">
        <f t="shared" si="48"/>
        <v>2</v>
      </c>
      <c r="AX299" s="552">
        <f t="shared" si="48"/>
        <v>2</v>
      </c>
      <c r="AY299" s="552">
        <f t="shared" si="48"/>
        <v>2</v>
      </c>
      <c r="AZ299" s="552">
        <f t="shared" si="48"/>
        <v>0</v>
      </c>
      <c r="BA299" s="552">
        <f t="shared" si="48"/>
        <v>3</v>
      </c>
      <c r="BB299" s="552">
        <f t="shared" si="48"/>
        <v>3</v>
      </c>
      <c r="BC299" s="552">
        <f t="shared" si="48"/>
        <v>2</v>
      </c>
      <c r="BD299" s="552">
        <f t="shared" si="48"/>
        <v>2</v>
      </c>
      <c r="BE299" s="552">
        <f t="shared" si="48"/>
        <v>2</v>
      </c>
      <c r="BF299" s="552">
        <f t="shared" si="48"/>
        <v>2</v>
      </c>
      <c r="BG299" s="552">
        <f t="shared" si="48"/>
        <v>3</v>
      </c>
      <c r="BH299" s="552">
        <f t="shared" si="48"/>
        <v>2</v>
      </c>
      <c r="BI299" s="552">
        <f t="shared" si="48"/>
        <v>2</v>
      </c>
      <c r="BJ299" s="552">
        <f t="shared" si="48"/>
        <v>2</v>
      </c>
      <c r="BK299" s="552">
        <f t="shared" si="48"/>
        <v>3</v>
      </c>
      <c r="BL299" s="552">
        <f t="shared" si="48"/>
        <v>2</v>
      </c>
      <c r="BM299" s="552">
        <f t="shared" si="48"/>
        <v>2</v>
      </c>
      <c r="BN299" s="552">
        <f t="shared" ref="BN299:BR299" si="49">BN212</f>
        <v>2</v>
      </c>
      <c r="BO299" s="552">
        <f t="shared" si="49"/>
        <v>2</v>
      </c>
      <c r="BP299" s="552">
        <f t="shared" si="49"/>
        <v>2</v>
      </c>
      <c r="BQ299" s="552">
        <f t="shared" si="49"/>
        <v>2</v>
      </c>
      <c r="BR299" s="552">
        <f t="shared" si="49"/>
        <v>2</v>
      </c>
      <c r="BS299" s="552">
        <f t="shared" ref="BS299:CD299" si="50">BS212</f>
        <v>3</v>
      </c>
      <c r="BT299" s="552">
        <f t="shared" si="50"/>
        <v>2</v>
      </c>
      <c r="BU299" s="552">
        <f t="shared" si="50"/>
        <v>2</v>
      </c>
      <c r="BV299" s="552">
        <f t="shared" si="50"/>
        <v>3</v>
      </c>
      <c r="BW299" s="552">
        <f t="shared" si="50"/>
        <v>2</v>
      </c>
      <c r="BX299" s="552">
        <f t="shared" si="50"/>
        <v>2</v>
      </c>
      <c r="BY299" s="552">
        <f t="shared" si="50"/>
        <v>3</v>
      </c>
      <c r="BZ299" s="552">
        <f t="shared" si="50"/>
        <v>2</v>
      </c>
      <c r="CA299" s="552">
        <f t="shared" si="50"/>
        <v>2</v>
      </c>
      <c r="CB299" s="552">
        <f t="shared" si="50"/>
        <v>2</v>
      </c>
      <c r="CC299" s="552">
        <f t="shared" si="50"/>
        <v>2</v>
      </c>
      <c r="CD299" s="552">
        <f t="shared" si="50"/>
        <v>2</v>
      </c>
      <c r="CE299" s="180"/>
      <c r="CF299" s="180"/>
      <c r="CG299" s="180"/>
      <c r="CH299" s="180"/>
      <c r="CI299" s="180"/>
      <c r="CJ299" s="180"/>
      <c r="CK299" s="180"/>
      <c r="CL299" s="180"/>
      <c r="CM299" s="180"/>
      <c r="CN299" s="180"/>
      <c r="CO299" s="180"/>
      <c r="CP299" s="180"/>
      <c r="CQ299" s="180"/>
      <c r="CR299" s="180"/>
      <c r="CS299" s="180"/>
      <c r="CT299" s="180"/>
      <c r="CU299" s="180"/>
      <c r="CV299" s="180"/>
      <c r="CW299" s="180"/>
      <c r="CX299" s="180"/>
      <c r="CY299" s="180"/>
      <c r="CZ299" s="180"/>
    </row>
    <row r="300" spans="1:104" x14ac:dyDescent="0.3">
      <c r="A300" s="552">
        <f>A219</f>
        <v>974</v>
      </c>
      <c r="B300" s="552" t="str">
        <f t="shared" ref="B300:BM300" si="51">B219</f>
        <v>Did the Unit have any of the following occur:
1.  Were any debt service payments deferred or restructured in this fiscal year? (does not include refinancings designed to take advantage of lower interest rates)
2.  Bond covenants were not met
3.  Debt serv</v>
      </c>
      <c r="C300" s="552">
        <f t="shared" si="51"/>
        <v>0</v>
      </c>
      <c r="D300" s="552">
        <f t="shared" si="51"/>
        <v>0</v>
      </c>
      <c r="E300" s="552">
        <f t="shared" si="51"/>
        <v>3</v>
      </c>
      <c r="F300" s="552">
        <f t="shared" si="51"/>
        <v>2</v>
      </c>
      <c r="G300" s="552">
        <f t="shared" si="51"/>
        <v>2</v>
      </c>
      <c r="H300" s="552">
        <f t="shared" si="51"/>
        <v>3</v>
      </c>
      <c r="I300" s="552">
        <f t="shared" si="51"/>
        <v>2</v>
      </c>
      <c r="J300" s="552">
        <f t="shared" si="51"/>
        <v>3</v>
      </c>
      <c r="K300" s="552">
        <f t="shared" si="51"/>
        <v>1</v>
      </c>
      <c r="L300" s="552">
        <f t="shared" si="51"/>
        <v>2</v>
      </c>
      <c r="M300" s="552">
        <f t="shared" si="51"/>
        <v>2</v>
      </c>
      <c r="N300" s="552">
        <f t="shared" si="51"/>
        <v>3</v>
      </c>
      <c r="O300" s="552">
        <f t="shared" si="51"/>
        <v>2</v>
      </c>
      <c r="P300" s="552">
        <f t="shared" si="51"/>
        <v>3</v>
      </c>
      <c r="Q300" s="552">
        <f t="shared" si="51"/>
        <v>2</v>
      </c>
      <c r="R300" s="552">
        <f t="shared" si="51"/>
        <v>3</v>
      </c>
      <c r="S300" s="552">
        <f t="shared" si="51"/>
        <v>2</v>
      </c>
      <c r="T300" s="552">
        <f t="shared" si="51"/>
        <v>2</v>
      </c>
      <c r="U300" s="552">
        <f t="shared" si="51"/>
        <v>2</v>
      </c>
      <c r="V300" s="552">
        <f t="shared" si="51"/>
        <v>2</v>
      </c>
      <c r="W300" s="552">
        <f t="shared" si="51"/>
        <v>2</v>
      </c>
      <c r="X300" s="552">
        <f t="shared" si="51"/>
        <v>3</v>
      </c>
      <c r="Y300" s="552">
        <f t="shared" si="51"/>
        <v>2</v>
      </c>
      <c r="Z300" s="552">
        <f t="shared" si="51"/>
        <v>2</v>
      </c>
      <c r="AA300" s="552">
        <f t="shared" si="51"/>
        <v>3</v>
      </c>
      <c r="AB300" s="552">
        <f t="shared" si="51"/>
        <v>3</v>
      </c>
      <c r="AC300" s="552">
        <f t="shared" si="51"/>
        <v>2</v>
      </c>
      <c r="AD300" s="552">
        <f t="shared" si="51"/>
        <v>2</v>
      </c>
      <c r="AE300" s="552">
        <f t="shared" si="51"/>
        <v>0</v>
      </c>
      <c r="AF300" s="552">
        <f t="shared" si="51"/>
        <v>2</v>
      </c>
      <c r="AG300" s="552">
        <f t="shared" si="51"/>
        <v>3</v>
      </c>
      <c r="AH300" s="552">
        <f t="shared" si="51"/>
        <v>3</v>
      </c>
      <c r="AI300" s="552">
        <f t="shared" si="51"/>
        <v>2</v>
      </c>
      <c r="AJ300" s="552">
        <f t="shared" si="51"/>
        <v>2</v>
      </c>
      <c r="AK300" s="552">
        <f t="shared" si="51"/>
        <v>2</v>
      </c>
      <c r="AL300" s="552">
        <f t="shared" si="51"/>
        <v>2</v>
      </c>
      <c r="AM300" s="552">
        <f t="shared" si="51"/>
        <v>2</v>
      </c>
      <c r="AN300" s="552">
        <f t="shared" si="51"/>
        <v>2</v>
      </c>
      <c r="AO300" s="552">
        <f t="shared" si="51"/>
        <v>3</v>
      </c>
      <c r="AP300" s="552">
        <f t="shared" si="51"/>
        <v>2</v>
      </c>
      <c r="AQ300" s="552">
        <f t="shared" si="51"/>
        <v>3</v>
      </c>
      <c r="AR300" s="552">
        <f t="shared" si="51"/>
        <v>3</v>
      </c>
      <c r="AS300" s="552">
        <f t="shared" si="51"/>
        <v>2</v>
      </c>
      <c r="AT300" s="552">
        <f t="shared" si="51"/>
        <v>2</v>
      </c>
      <c r="AU300" s="552">
        <f t="shared" si="51"/>
        <v>2</v>
      </c>
      <c r="AV300" s="552">
        <f t="shared" si="51"/>
        <v>2</v>
      </c>
      <c r="AW300" s="552">
        <f t="shared" si="51"/>
        <v>2</v>
      </c>
      <c r="AX300" s="552">
        <f t="shared" si="51"/>
        <v>2</v>
      </c>
      <c r="AY300" s="552">
        <f t="shared" si="51"/>
        <v>2</v>
      </c>
      <c r="AZ300" s="552">
        <f t="shared" si="51"/>
        <v>0</v>
      </c>
      <c r="BA300" s="552">
        <f t="shared" si="51"/>
        <v>2</v>
      </c>
      <c r="BB300" s="552">
        <f t="shared" si="51"/>
        <v>3</v>
      </c>
      <c r="BC300" s="552">
        <f t="shared" si="51"/>
        <v>2</v>
      </c>
      <c r="BD300" s="552">
        <f t="shared" si="51"/>
        <v>3</v>
      </c>
      <c r="BE300" s="552">
        <f t="shared" si="51"/>
        <v>2</v>
      </c>
      <c r="BF300" s="552">
        <f t="shared" si="51"/>
        <v>2</v>
      </c>
      <c r="BG300" s="552">
        <f t="shared" si="51"/>
        <v>3</v>
      </c>
      <c r="BH300" s="552">
        <f t="shared" si="51"/>
        <v>2</v>
      </c>
      <c r="BI300" s="552">
        <f t="shared" si="51"/>
        <v>2</v>
      </c>
      <c r="BJ300" s="552">
        <f t="shared" si="51"/>
        <v>3</v>
      </c>
      <c r="BK300" s="552">
        <f t="shared" si="51"/>
        <v>3</v>
      </c>
      <c r="BL300" s="552">
        <f t="shared" si="51"/>
        <v>2</v>
      </c>
      <c r="BM300" s="552">
        <f t="shared" si="51"/>
        <v>2</v>
      </c>
      <c r="BN300" s="552">
        <f t="shared" ref="BN300:BR300" si="52">BN219</f>
        <v>2</v>
      </c>
      <c r="BO300" s="552">
        <f t="shared" si="52"/>
        <v>2</v>
      </c>
      <c r="BP300" s="552">
        <f t="shared" si="52"/>
        <v>2</v>
      </c>
      <c r="BQ300" s="552">
        <f t="shared" si="52"/>
        <v>2</v>
      </c>
      <c r="BR300" s="552">
        <f t="shared" si="52"/>
        <v>2</v>
      </c>
      <c r="BS300" s="552">
        <f t="shared" ref="BS300:CD300" si="53">BS219</f>
        <v>3</v>
      </c>
      <c r="BT300" s="552">
        <f t="shared" si="53"/>
        <v>2</v>
      </c>
      <c r="BU300" s="552">
        <f t="shared" si="53"/>
        <v>2</v>
      </c>
      <c r="BV300" s="552">
        <f t="shared" si="53"/>
        <v>3</v>
      </c>
      <c r="BW300" s="552">
        <f t="shared" si="53"/>
        <v>2</v>
      </c>
      <c r="BX300" s="552">
        <f t="shared" si="53"/>
        <v>2</v>
      </c>
      <c r="BY300" s="552">
        <f t="shared" si="53"/>
        <v>2</v>
      </c>
      <c r="BZ300" s="552">
        <f t="shared" si="53"/>
        <v>2</v>
      </c>
      <c r="CA300" s="552">
        <f t="shared" si="53"/>
        <v>2</v>
      </c>
      <c r="CB300" s="552">
        <f t="shared" si="53"/>
        <v>2</v>
      </c>
      <c r="CC300" s="552">
        <f t="shared" si="53"/>
        <v>2</v>
      </c>
      <c r="CD300" s="552">
        <f t="shared" si="53"/>
        <v>2</v>
      </c>
      <c r="CE300" s="551"/>
      <c r="CF300" s="551"/>
      <c r="CG300" s="551"/>
      <c r="CH300" s="551"/>
      <c r="CI300" s="551"/>
      <c r="CJ300" s="551"/>
      <c r="CK300" s="551"/>
      <c r="CL300" s="551"/>
      <c r="CM300" s="551"/>
      <c r="CN300" s="551"/>
      <c r="CO300" s="551"/>
      <c r="CP300" s="551"/>
      <c r="CQ300" s="551"/>
      <c r="CR300" s="551"/>
      <c r="CS300" s="551"/>
      <c r="CT300" s="551"/>
      <c r="CU300" s="551"/>
      <c r="CV300" s="551"/>
      <c r="CW300" s="551"/>
      <c r="CX300" s="551"/>
      <c r="CY300" s="551"/>
      <c r="CZ300" s="551"/>
    </row>
    <row r="301" spans="1:104" x14ac:dyDescent="0.3">
      <c r="A301" s="552">
        <f>A220</f>
        <v>975</v>
      </c>
      <c r="B301" s="552" t="str">
        <f t="shared" ref="B301:BM301" si="54">B220</f>
        <v>Does the Performance Indicator Print worksheet in this workbook have a red shaded cell?</v>
      </c>
      <c r="C301" s="552">
        <f t="shared" si="54"/>
        <v>0</v>
      </c>
      <c r="D301" s="552">
        <f t="shared" si="54"/>
        <v>0</v>
      </c>
      <c r="E301" s="552">
        <f t="shared" si="54"/>
        <v>1</v>
      </c>
      <c r="F301" s="552">
        <f t="shared" si="54"/>
        <v>2</v>
      </c>
      <c r="G301" s="552">
        <f t="shared" si="54"/>
        <v>1</v>
      </c>
      <c r="H301" s="552">
        <f t="shared" si="54"/>
        <v>2</v>
      </c>
      <c r="I301" s="552">
        <f t="shared" si="54"/>
        <v>1</v>
      </c>
      <c r="J301" s="552">
        <f t="shared" si="54"/>
        <v>2</v>
      </c>
      <c r="K301" s="552">
        <f t="shared" si="54"/>
        <v>1</v>
      </c>
      <c r="L301" s="552">
        <f t="shared" si="54"/>
        <v>1</v>
      </c>
      <c r="M301" s="552">
        <f t="shared" si="54"/>
        <v>1</v>
      </c>
      <c r="N301" s="552">
        <f t="shared" si="54"/>
        <v>1</v>
      </c>
      <c r="O301" s="552">
        <f t="shared" si="54"/>
        <v>2</v>
      </c>
      <c r="P301" s="552">
        <f t="shared" si="54"/>
        <v>2</v>
      </c>
      <c r="Q301" s="552">
        <f t="shared" si="54"/>
        <v>1</v>
      </c>
      <c r="R301" s="552">
        <f t="shared" si="54"/>
        <v>1</v>
      </c>
      <c r="S301" s="552">
        <f t="shared" si="54"/>
        <v>1</v>
      </c>
      <c r="T301" s="552">
        <f t="shared" si="54"/>
        <v>1</v>
      </c>
      <c r="U301" s="552">
        <f t="shared" si="54"/>
        <v>1</v>
      </c>
      <c r="V301" s="552">
        <f t="shared" si="54"/>
        <v>1</v>
      </c>
      <c r="W301" s="552">
        <f t="shared" si="54"/>
        <v>2</v>
      </c>
      <c r="X301" s="552">
        <f t="shared" si="54"/>
        <v>1</v>
      </c>
      <c r="Y301" s="552">
        <f t="shared" si="54"/>
        <v>1</v>
      </c>
      <c r="Z301" s="552">
        <f t="shared" si="54"/>
        <v>2</v>
      </c>
      <c r="AA301" s="552">
        <f t="shared" si="54"/>
        <v>2</v>
      </c>
      <c r="AB301" s="552">
        <f t="shared" si="54"/>
        <v>2</v>
      </c>
      <c r="AC301" s="552">
        <f t="shared" si="54"/>
        <v>2</v>
      </c>
      <c r="AD301" s="552">
        <f t="shared" si="54"/>
        <v>1</v>
      </c>
      <c r="AE301" s="552">
        <f t="shared" si="54"/>
        <v>0</v>
      </c>
      <c r="AF301" s="552">
        <f t="shared" si="54"/>
        <v>2</v>
      </c>
      <c r="AG301" s="552">
        <f t="shared" si="54"/>
        <v>1</v>
      </c>
      <c r="AH301" s="552">
        <f t="shared" si="54"/>
        <v>1</v>
      </c>
      <c r="AI301" s="552">
        <f t="shared" si="54"/>
        <v>1</v>
      </c>
      <c r="AJ301" s="552">
        <f t="shared" si="54"/>
        <v>1</v>
      </c>
      <c r="AK301" s="552">
        <f t="shared" si="54"/>
        <v>1</v>
      </c>
      <c r="AL301" s="552">
        <f t="shared" si="54"/>
        <v>1</v>
      </c>
      <c r="AM301" s="552">
        <f t="shared" si="54"/>
        <v>1</v>
      </c>
      <c r="AN301" s="552">
        <f t="shared" si="54"/>
        <v>2</v>
      </c>
      <c r="AO301" s="552">
        <f t="shared" si="54"/>
        <v>2</v>
      </c>
      <c r="AP301" s="552">
        <f t="shared" si="54"/>
        <v>1</v>
      </c>
      <c r="AQ301" s="552">
        <f t="shared" si="54"/>
        <v>2</v>
      </c>
      <c r="AR301" s="552">
        <f t="shared" si="54"/>
        <v>1</v>
      </c>
      <c r="AS301" s="552">
        <f t="shared" si="54"/>
        <v>1</v>
      </c>
      <c r="AT301" s="552">
        <f t="shared" si="54"/>
        <v>2</v>
      </c>
      <c r="AU301" s="552">
        <f t="shared" si="54"/>
        <v>1</v>
      </c>
      <c r="AV301" s="552">
        <f t="shared" si="54"/>
        <v>1</v>
      </c>
      <c r="AW301" s="552">
        <f t="shared" si="54"/>
        <v>1</v>
      </c>
      <c r="AX301" s="552">
        <f t="shared" si="54"/>
        <v>1</v>
      </c>
      <c r="AY301" s="552">
        <f t="shared" si="54"/>
        <v>1</v>
      </c>
      <c r="AZ301" s="552">
        <f t="shared" si="54"/>
        <v>0</v>
      </c>
      <c r="BA301" s="552">
        <f t="shared" si="54"/>
        <v>1</v>
      </c>
      <c r="BB301" s="552">
        <f t="shared" si="54"/>
        <v>1</v>
      </c>
      <c r="BC301" s="552">
        <f t="shared" si="54"/>
        <v>1</v>
      </c>
      <c r="BD301" s="552">
        <f t="shared" si="54"/>
        <v>1</v>
      </c>
      <c r="BE301" s="552">
        <f t="shared" si="54"/>
        <v>1</v>
      </c>
      <c r="BF301" s="552">
        <f t="shared" si="54"/>
        <v>2</v>
      </c>
      <c r="BG301" s="552">
        <f t="shared" si="54"/>
        <v>1</v>
      </c>
      <c r="BH301" s="552">
        <f t="shared" si="54"/>
        <v>1</v>
      </c>
      <c r="BI301" s="552">
        <f t="shared" si="54"/>
        <v>1</v>
      </c>
      <c r="BJ301" s="552">
        <f t="shared" si="54"/>
        <v>2</v>
      </c>
      <c r="BK301" s="552">
        <f t="shared" si="54"/>
        <v>1</v>
      </c>
      <c r="BL301" s="552">
        <f t="shared" si="54"/>
        <v>1</v>
      </c>
      <c r="BM301" s="552">
        <f t="shared" si="54"/>
        <v>2</v>
      </c>
      <c r="BN301" s="552">
        <f t="shared" ref="BN301:BR301" si="55">BN220</f>
        <v>1</v>
      </c>
      <c r="BO301" s="552">
        <f t="shared" si="55"/>
        <v>1</v>
      </c>
      <c r="BP301" s="552">
        <f t="shared" si="55"/>
        <v>1</v>
      </c>
      <c r="BQ301" s="552">
        <f t="shared" si="55"/>
        <v>2</v>
      </c>
      <c r="BR301" s="552">
        <f t="shared" si="55"/>
        <v>1</v>
      </c>
      <c r="BS301" s="552">
        <f t="shared" ref="BS301:CD301" si="56">BS220</f>
        <v>1</v>
      </c>
      <c r="BT301" s="552">
        <f t="shared" si="56"/>
        <v>1</v>
      </c>
      <c r="BU301" s="552">
        <f t="shared" si="56"/>
        <v>1</v>
      </c>
      <c r="BV301" s="552">
        <f t="shared" si="56"/>
        <v>1</v>
      </c>
      <c r="BW301" s="552">
        <f t="shared" si="56"/>
        <v>1</v>
      </c>
      <c r="BX301" s="552">
        <f t="shared" si="56"/>
        <v>2</v>
      </c>
      <c r="BY301" s="552">
        <f t="shared" si="56"/>
        <v>2</v>
      </c>
      <c r="BZ301" s="552">
        <f t="shared" si="56"/>
        <v>1</v>
      </c>
      <c r="CA301" s="552">
        <f t="shared" si="56"/>
        <v>1</v>
      </c>
      <c r="CB301" s="552">
        <f t="shared" si="56"/>
        <v>1</v>
      </c>
      <c r="CC301" s="552">
        <f t="shared" si="56"/>
        <v>2</v>
      </c>
      <c r="CD301" s="552">
        <f t="shared" si="56"/>
        <v>2</v>
      </c>
      <c r="CE301" s="551"/>
      <c r="CF301" s="551"/>
      <c r="CG301" s="551"/>
      <c r="CH301" s="551"/>
      <c r="CI301" s="551"/>
      <c r="CJ301" s="551"/>
      <c r="CK301" s="551"/>
      <c r="CL301" s="551"/>
      <c r="CM301" s="551"/>
      <c r="CN301" s="551"/>
      <c r="CO301" s="551"/>
      <c r="CP301" s="551"/>
      <c r="CQ301" s="551"/>
      <c r="CR301" s="551"/>
      <c r="CS301" s="551"/>
      <c r="CT301" s="551"/>
      <c r="CU301" s="551"/>
      <c r="CV301" s="551"/>
      <c r="CW301" s="551"/>
      <c r="CX301" s="551"/>
      <c r="CY301" s="551"/>
      <c r="CZ301" s="551"/>
    </row>
    <row r="302" spans="1:104" x14ac:dyDescent="0.3">
      <c r="A302" s="552">
        <f>A250</f>
        <v>1068</v>
      </c>
      <c r="B302" s="552" t="str">
        <f t="shared" ref="B302:BM302" si="57">B250</f>
        <v>Does the unit have a self-insurance fund?</v>
      </c>
      <c r="C302" s="552">
        <f t="shared" si="57"/>
        <v>0</v>
      </c>
      <c r="D302" s="552">
        <f t="shared" si="57"/>
        <v>0</v>
      </c>
      <c r="E302" s="552">
        <f t="shared" si="57"/>
        <v>2</v>
      </c>
      <c r="F302" s="552">
        <f t="shared" si="57"/>
        <v>2</v>
      </c>
      <c r="G302" s="552">
        <f t="shared" si="57"/>
        <v>2</v>
      </c>
      <c r="H302" s="552">
        <f t="shared" si="57"/>
        <v>2</v>
      </c>
      <c r="I302" s="552">
        <f t="shared" si="57"/>
        <v>2</v>
      </c>
      <c r="J302" s="552">
        <f t="shared" si="57"/>
        <v>2</v>
      </c>
      <c r="K302" s="552">
        <f t="shared" si="57"/>
        <v>2</v>
      </c>
      <c r="L302" s="552">
        <f t="shared" si="57"/>
        <v>2</v>
      </c>
      <c r="M302" s="552">
        <f t="shared" si="57"/>
        <v>1</v>
      </c>
      <c r="N302" s="552">
        <f t="shared" si="57"/>
        <v>2</v>
      </c>
      <c r="O302" s="552">
        <f t="shared" si="57"/>
        <v>2</v>
      </c>
      <c r="P302" s="552">
        <f t="shared" si="57"/>
        <v>2</v>
      </c>
      <c r="Q302" s="552">
        <f t="shared" si="57"/>
        <v>2</v>
      </c>
      <c r="R302" s="552">
        <f t="shared" si="57"/>
        <v>2</v>
      </c>
      <c r="S302" s="552">
        <f t="shared" si="57"/>
        <v>2</v>
      </c>
      <c r="T302" s="552">
        <f t="shared" si="57"/>
        <v>2</v>
      </c>
      <c r="U302" s="552">
        <f t="shared" si="57"/>
        <v>2</v>
      </c>
      <c r="V302" s="552">
        <f t="shared" si="57"/>
        <v>2</v>
      </c>
      <c r="W302" s="552">
        <f t="shared" si="57"/>
        <v>2</v>
      </c>
      <c r="X302" s="552">
        <f t="shared" si="57"/>
        <v>2</v>
      </c>
      <c r="Y302" s="552">
        <f t="shared" si="57"/>
        <v>2</v>
      </c>
      <c r="Z302" s="552">
        <f t="shared" si="57"/>
        <v>2</v>
      </c>
      <c r="AA302" s="552">
        <f t="shared" si="57"/>
        <v>2</v>
      </c>
      <c r="AB302" s="552">
        <f t="shared" si="57"/>
        <v>2</v>
      </c>
      <c r="AC302" s="552">
        <f t="shared" si="57"/>
        <v>2</v>
      </c>
      <c r="AD302" s="552">
        <f t="shared" si="57"/>
        <v>2</v>
      </c>
      <c r="AE302" s="552">
        <f t="shared" si="57"/>
        <v>0</v>
      </c>
      <c r="AF302" s="552">
        <f t="shared" si="57"/>
        <v>1</v>
      </c>
      <c r="AG302" s="552">
        <f t="shared" si="57"/>
        <v>2</v>
      </c>
      <c r="AH302" s="552">
        <f t="shared" si="57"/>
        <v>2</v>
      </c>
      <c r="AI302" s="552">
        <f t="shared" si="57"/>
        <v>2</v>
      </c>
      <c r="AJ302" s="552">
        <f t="shared" si="57"/>
        <v>2</v>
      </c>
      <c r="AK302" s="552">
        <f t="shared" si="57"/>
        <v>2</v>
      </c>
      <c r="AL302" s="552">
        <f t="shared" si="57"/>
        <v>2</v>
      </c>
      <c r="AM302" s="552">
        <f t="shared" si="57"/>
        <v>2</v>
      </c>
      <c r="AN302" s="552">
        <f t="shared" si="57"/>
        <v>2</v>
      </c>
      <c r="AO302" s="552">
        <f t="shared" si="57"/>
        <v>2</v>
      </c>
      <c r="AP302" s="552">
        <f t="shared" si="57"/>
        <v>2</v>
      </c>
      <c r="AQ302" s="552">
        <f t="shared" si="57"/>
        <v>2</v>
      </c>
      <c r="AR302" s="552">
        <f t="shared" si="57"/>
        <v>2</v>
      </c>
      <c r="AS302" s="552">
        <f t="shared" si="57"/>
        <v>2</v>
      </c>
      <c r="AT302" s="552">
        <f t="shared" si="57"/>
        <v>2</v>
      </c>
      <c r="AU302" s="552">
        <f t="shared" si="57"/>
        <v>1</v>
      </c>
      <c r="AV302" s="552">
        <f t="shared" si="57"/>
        <v>2</v>
      </c>
      <c r="AW302" s="552">
        <f t="shared" si="57"/>
        <v>2</v>
      </c>
      <c r="AX302" s="552">
        <f t="shared" si="57"/>
        <v>2</v>
      </c>
      <c r="AY302" s="552">
        <f t="shared" si="57"/>
        <v>2</v>
      </c>
      <c r="AZ302" s="552">
        <f t="shared" si="57"/>
        <v>0</v>
      </c>
      <c r="BA302" s="552">
        <f t="shared" si="57"/>
        <v>2</v>
      </c>
      <c r="BB302" s="552">
        <f t="shared" si="57"/>
        <v>2</v>
      </c>
      <c r="BC302" s="552">
        <f t="shared" si="57"/>
        <v>2</v>
      </c>
      <c r="BD302" s="552">
        <f t="shared" si="57"/>
        <v>2</v>
      </c>
      <c r="BE302" s="552">
        <f t="shared" si="57"/>
        <v>2</v>
      </c>
      <c r="BF302" s="552">
        <f t="shared" si="57"/>
        <v>2</v>
      </c>
      <c r="BG302" s="552">
        <f t="shared" si="57"/>
        <v>2</v>
      </c>
      <c r="BH302" s="552">
        <f t="shared" si="57"/>
        <v>2</v>
      </c>
      <c r="BI302" s="552">
        <f t="shared" si="57"/>
        <v>2</v>
      </c>
      <c r="BJ302" s="552">
        <f t="shared" si="57"/>
        <v>2</v>
      </c>
      <c r="BK302" s="552">
        <f t="shared" si="57"/>
        <v>2</v>
      </c>
      <c r="BL302" s="552">
        <f t="shared" si="57"/>
        <v>2</v>
      </c>
      <c r="BM302" s="552">
        <f t="shared" si="57"/>
        <v>2</v>
      </c>
      <c r="BN302" s="552">
        <f t="shared" ref="BN302:BR302" si="58">BN250</f>
        <v>2</v>
      </c>
      <c r="BO302" s="552">
        <f t="shared" si="58"/>
        <v>2</v>
      </c>
      <c r="BP302" s="552">
        <f t="shared" si="58"/>
        <v>2</v>
      </c>
      <c r="BQ302" s="552">
        <f t="shared" si="58"/>
        <v>2</v>
      </c>
      <c r="BR302" s="552">
        <f t="shared" si="58"/>
        <v>2</v>
      </c>
      <c r="BS302" s="552">
        <f t="shared" ref="BS302:CD302" si="59">BS250</f>
        <v>2</v>
      </c>
      <c r="BT302" s="552">
        <f t="shared" si="59"/>
        <v>2</v>
      </c>
      <c r="BU302" s="552">
        <f t="shared" si="59"/>
        <v>2</v>
      </c>
      <c r="BV302" s="552">
        <f t="shared" si="59"/>
        <v>2</v>
      </c>
      <c r="BW302" s="552">
        <f t="shared" si="59"/>
        <v>2</v>
      </c>
      <c r="BX302" s="552">
        <f t="shared" si="59"/>
        <v>2</v>
      </c>
      <c r="BY302" s="552">
        <f t="shared" si="59"/>
        <v>2</v>
      </c>
      <c r="BZ302" s="552">
        <f t="shared" si="59"/>
        <v>2</v>
      </c>
      <c r="CA302" s="552">
        <f t="shared" si="59"/>
        <v>2</v>
      </c>
      <c r="CB302" s="552">
        <f t="shared" si="59"/>
        <v>2</v>
      </c>
      <c r="CC302" s="552">
        <f t="shared" si="59"/>
        <v>2</v>
      </c>
      <c r="CD302" s="552">
        <f t="shared" si="59"/>
        <v>2</v>
      </c>
      <c r="CE302" s="551"/>
      <c r="CF302" s="551"/>
      <c r="CG302" s="551"/>
      <c r="CH302" s="551"/>
      <c r="CI302" s="551"/>
      <c r="CJ302" s="551"/>
      <c r="CK302" s="551"/>
      <c r="CL302" s="551"/>
      <c r="CM302" s="551"/>
      <c r="CN302" s="551"/>
      <c r="CO302" s="551"/>
      <c r="CP302" s="551"/>
      <c r="CQ302" s="551"/>
      <c r="CR302" s="551"/>
      <c r="CS302" s="551"/>
      <c r="CT302" s="551"/>
      <c r="CU302" s="551"/>
      <c r="CV302" s="551"/>
      <c r="CW302" s="551"/>
      <c r="CX302" s="551"/>
      <c r="CY302" s="551"/>
      <c r="CZ302" s="551"/>
    </row>
    <row r="303" spans="1:104" x14ac:dyDescent="0.3">
      <c r="A303" s="552">
        <f>A251</f>
        <v>1069</v>
      </c>
      <c r="B303" s="552" t="str">
        <f t="shared" ref="B303:BM303" si="60">B251</f>
        <v>If the unit is self-insured for employee health care, does the unit use a qualified consultant to establish rates and appropriate reserve levels?</v>
      </c>
      <c r="C303" s="552">
        <f t="shared" si="60"/>
        <v>0</v>
      </c>
      <c r="D303" s="552">
        <f t="shared" si="60"/>
        <v>0</v>
      </c>
      <c r="E303" s="552">
        <f t="shared" si="60"/>
        <v>2</v>
      </c>
      <c r="F303" s="552">
        <f t="shared" si="60"/>
        <v>3</v>
      </c>
      <c r="G303" s="552">
        <f t="shared" si="60"/>
        <v>2</v>
      </c>
      <c r="H303" s="552">
        <f t="shared" si="60"/>
        <v>3</v>
      </c>
      <c r="I303" s="552">
        <f t="shared" si="60"/>
        <v>3</v>
      </c>
      <c r="J303" s="552">
        <f t="shared" si="60"/>
        <v>3</v>
      </c>
      <c r="K303" s="552">
        <f t="shared" si="60"/>
        <v>2</v>
      </c>
      <c r="L303" s="552">
        <f t="shared" si="60"/>
        <v>3</v>
      </c>
      <c r="M303" s="552">
        <f t="shared" si="60"/>
        <v>1</v>
      </c>
      <c r="N303" s="552">
        <f t="shared" si="60"/>
        <v>3</v>
      </c>
      <c r="O303" s="552">
        <f t="shared" si="60"/>
        <v>3</v>
      </c>
      <c r="P303" s="552">
        <f t="shared" si="60"/>
        <v>3</v>
      </c>
      <c r="Q303" s="552">
        <f t="shared" si="60"/>
        <v>3</v>
      </c>
      <c r="R303" s="552">
        <f t="shared" si="60"/>
        <v>2</v>
      </c>
      <c r="S303" s="552">
        <f t="shared" si="60"/>
        <v>3</v>
      </c>
      <c r="T303" s="552">
        <f t="shared" si="60"/>
        <v>2</v>
      </c>
      <c r="U303" s="552">
        <f t="shared" si="60"/>
        <v>2</v>
      </c>
      <c r="V303" s="552">
        <f t="shared" si="60"/>
        <v>3</v>
      </c>
      <c r="W303" s="552">
        <f t="shared" si="60"/>
        <v>3</v>
      </c>
      <c r="X303" s="552">
        <f t="shared" si="60"/>
        <v>3</v>
      </c>
      <c r="Y303" s="552">
        <f t="shared" si="60"/>
        <v>3</v>
      </c>
      <c r="Z303" s="552">
        <f t="shared" si="60"/>
        <v>3</v>
      </c>
      <c r="AA303" s="552">
        <f t="shared" si="60"/>
        <v>3</v>
      </c>
      <c r="AB303" s="552">
        <f t="shared" si="60"/>
        <v>3</v>
      </c>
      <c r="AC303" s="552">
        <f t="shared" si="60"/>
        <v>3</v>
      </c>
      <c r="AD303" s="552">
        <f t="shared" si="60"/>
        <v>3</v>
      </c>
      <c r="AE303" s="552">
        <f t="shared" si="60"/>
        <v>0</v>
      </c>
      <c r="AF303" s="552">
        <f t="shared" si="60"/>
        <v>1</v>
      </c>
      <c r="AG303" s="552">
        <f t="shared" si="60"/>
        <v>3</v>
      </c>
      <c r="AH303" s="552">
        <f t="shared" si="60"/>
        <v>3</v>
      </c>
      <c r="AI303" s="552">
        <f t="shared" si="60"/>
        <v>3</v>
      </c>
      <c r="AJ303" s="552">
        <f t="shared" si="60"/>
        <v>2</v>
      </c>
      <c r="AK303" s="552">
        <f t="shared" si="60"/>
        <v>3</v>
      </c>
      <c r="AL303" s="552">
        <f t="shared" si="60"/>
        <v>3</v>
      </c>
      <c r="AM303" s="552">
        <f t="shared" si="60"/>
        <v>2</v>
      </c>
      <c r="AN303" s="552">
        <f t="shared" si="60"/>
        <v>3</v>
      </c>
      <c r="AO303" s="552">
        <f t="shared" si="60"/>
        <v>3</v>
      </c>
      <c r="AP303" s="552">
        <f t="shared" si="60"/>
        <v>3</v>
      </c>
      <c r="AQ303" s="552">
        <f t="shared" si="60"/>
        <v>3</v>
      </c>
      <c r="AR303" s="552">
        <f t="shared" si="60"/>
        <v>3</v>
      </c>
      <c r="AS303" s="552">
        <f t="shared" si="60"/>
        <v>2</v>
      </c>
      <c r="AT303" s="552">
        <f t="shared" si="60"/>
        <v>2</v>
      </c>
      <c r="AU303" s="552">
        <f t="shared" si="60"/>
        <v>1</v>
      </c>
      <c r="AV303" s="552">
        <f t="shared" si="60"/>
        <v>3</v>
      </c>
      <c r="AW303" s="552">
        <f t="shared" si="60"/>
        <v>3</v>
      </c>
      <c r="AX303" s="552">
        <f t="shared" si="60"/>
        <v>2</v>
      </c>
      <c r="AY303" s="552">
        <f t="shared" si="60"/>
        <v>3</v>
      </c>
      <c r="AZ303" s="552">
        <f t="shared" si="60"/>
        <v>0</v>
      </c>
      <c r="BA303" s="552">
        <f t="shared" si="60"/>
        <v>3</v>
      </c>
      <c r="BB303" s="552">
        <f t="shared" si="60"/>
        <v>2</v>
      </c>
      <c r="BC303" s="552">
        <f t="shared" si="60"/>
        <v>3</v>
      </c>
      <c r="BD303" s="552">
        <f t="shared" si="60"/>
        <v>3</v>
      </c>
      <c r="BE303" s="552">
        <f t="shared" si="60"/>
        <v>2</v>
      </c>
      <c r="BF303" s="552">
        <f t="shared" si="60"/>
        <v>3</v>
      </c>
      <c r="BG303" s="552">
        <f t="shared" si="60"/>
        <v>3</v>
      </c>
      <c r="BH303" s="552">
        <f t="shared" si="60"/>
        <v>3</v>
      </c>
      <c r="BI303" s="552">
        <f t="shared" si="60"/>
        <v>3</v>
      </c>
      <c r="BJ303" s="552">
        <f t="shared" si="60"/>
        <v>3</v>
      </c>
      <c r="BK303" s="552">
        <f t="shared" si="60"/>
        <v>3</v>
      </c>
      <c r="BL303" s="552">
        <f t="shared" si="60"/>
        <v>2</v>
      </c>
      <c r="BM303" s="552">
        <f t="shared" si="60"/>
        <v>3</v>
      </c>
      <c r="BN303" s="552">
        <f t="shared" ref="BN303:BR303" si="61">BN251</f>
        <v>3</v>
      </c>
      <c r="BO303" s="552">
        <f t="shared" si="61"/>
        <v>3</v>
      </c>
      <c r="BP303" s="552">
        <f t="shared" si="61"/>
        <v>3</v>
      </c>
      <c r="BQ303" s="552">
        <f t="shared" si="61"/>
        <v>3</v>
      </c>
      <c r="BR303" s="552">
        <f t="shared" si="61"/>
        <v>2</v>
      </c>
      <c r="BS303" s="552">
        <f t="shared" ref="BS303:CD303" si="62">BS251</f>
        <v>3</v>
      </c>
      <c r="BT303" s="552">
        <f t="shared" si="62"/>
        <v>3</v>
      </c>
      <c r="BU303" s="552">
        <f t="shared" si="62"/>
        <v>3</v>
      </c>
      <c r="BV303" s="552">
        <f t="shared" si="62"/>
        <v>3</v>
      </c>
      <c r="BW303" s="552">
        <f t="shared" si="62"/>
        <v>3</v>
      </c>
      <c r="BX303" s="552">
        <f t="shared" si="62"/>
        <v>3</v>
      </c>
      <c r="BY303" s="552">
        <f t="shared" si="62"/>
        <v>2</v>
      </c>
      <c r="BZ303" s="552">
        <f t="shared" si="62"/>
        <v>3</v>
      </c>
      <c r="CA303" s="552">
        <f t="shared" si="62"/>
        <v>3</v>
      </c>
      <c r="CB303" s="552">
        <f t="shared" si="62"/>
        <v>2</v>
      </c>
      <c r="CC303" s="552">
        <f t="shared" si="62"/>
        <v>3</v>
      </c>
      <c r="CD303" s="552">
        <f t="shared" si="62"/>
        <v>3</v>
      </c>
      <c r="CE303" s="551"/>
      <c r="CF303" s="551"/>
      <c r="CG303" s="551"/>
      <c r="CH303" s="551"/>
      <c r="CI303" s="551"/>
      <c r="CJ303" s="551"/>
      <c r="CK303" s="551"/>
      <c r="CL303" s="551"/>
      <c r="CM303" s="551"/>
      <c r="CN303" s="551"/>
      <c r="CO303" s="551"/>
      <c r="CP303" s="551"/>
      <c r="CQ303" s="551"/>
      <c r="CR303" s="551"/>
      <c r="CS303" s="551"/>
      <c r="CT303" s="551"/>
      <c r="CU303" s="551"/>
      <c r="CV303" s="551"/>
      <c r="CW303" s="551"/>
      <c r="CX303" s="551"/>
      <c r="CY303" s="551"/>
      <c r="CZ303" s="551"/>
    </row>
    <row r="304" spans="1:104" x14ac:dyDescent="0.3">
      <c r="A304" s="552">
        <f>A252</f>
        <v>1070</v>
      </c>
      <c r="B304" s="552" t="str">
        <f t="shared" ref="B304:BM304" si="63">B252</f>
        <v>Does the Unit have a non-state administrered pension plan?</v>
      </c>
      <c r="C304" s="552">
        <f t="shared" si="63"/>
        <v>0</v>
      </c>
      <c r="D304" s="552">
        <f t="shared" si="63"/>
        <v>0</v>
      </c>
      <c r="E304" s="552">
        <f t="shared" si="63"/>
        <v>2</v>
      </c>
      <c r="F304" s="552">
        <f t="shared" si="63"/>
        <v>2</v>
      </c>
      <c r="G304" s="552">
        <f t="shared" si="63"/>
        <v>2</v>
      </c>
      <c r="H304" s="552">
        <f t="shared" si="63"/>
        <v>2</v>
      </c>
      <c r="I304" s="552">
        <f t="shared" si="63"/>
        <v>2</v>
      </c>
      <c r="J304" s="552">
        <f t="shared" si="63"/>
        <v>2</v>
      </c>
      <c r="K304" s="552">
        <f t="shared" si="63"/>
        <v>2</v>
      </c>
      <c r="L304" s="552">
        <f t="shared" si="63"/>
        <v>2</v>
      </c>
      <c r="M304" s="552">
        <f t="shared" si="63"/>
        <v>2</v>
      </c>
      <c r="N304" s="552">
        <f t="shared" si="63"/>
        <v>2</v>
      </c>
      <c r="O304" s="552">
        <f t="shared" si="63"/>
        <v>2</v>
      </c>
      <c r="P304" s="552">
        <f t="shared" si="63"/>
        <v>2</v>
      </c>
      <c r="Q304" s="552">
        <f t="shared" si="63"/>
        <v>2</v>
      </c>
      <c r="R304" s="552">
        <f t="shared" si="63"/>
        <v>2</v>
      </c>
      <c r="S304" s="552">
        <f t="shared" si="63"/>
        <v>2</v>
      </c>
      <c r="T304" s="552">
        <f t="shared" si="63"/>
        <v>2</v>
      </c>
      <c r="U304" s="552">
        <f t="shared" si="63"/>
        <v>2</v>
      </c>
      <c r="V304" s="552">
        <f t="shared" si="63"/>
        <v>2</v>
      </c>
      <c r="W304" s="552">
        <f t="shared" si="63"/>
        <v>2</v>
      </c>
      <c r="X304" s="552">
        <f t="shared" si="63"/>
        <v>2</v>
      </c>
      <c r="Y304" s="552">
        <f t="shared" si="63"/>
        <v>2</v>
      </c>
      <c r="Z304" s="552">
        <f t="shared" si="63"/>
        <v>2</v>
      </c>
      <c r="AA304" s="552">
        <f t="shared" si="63"/>
        <v>2</v>
      </c>
      <c r="AB304" s="552">
        <f t="shared" si="63"/>
        <v>2</v>
      </c>
      <c r="AC304" s="552">
        <f t="shared" si="63"/>
        <v>2</v>
      </c>
      <c r="AD304" s="552">
        <f t="shared" si="63"/>
        <v>2</v>
      </c>
      <c r="AE304" s="552">
        <f t="shared" si="63"/>
        <v>0</v>
      </c>
      <c r="AF304" s="552">
        <f t="shared" si="63"/>
        <v>2</v>
      </c>
      <c r="AG304" s="552">
        <f t="shared" si="63"/>
        <v>2</v>
      </c>
      <c r="AH304" s="552">
        <f t="shared" si="63"/>
        <v>2</v>
      </c>
      <c r="AI304" s="552">
        <f t="shared" si="63"/>
        <v>2</v>
      </c>
      <c r="AJ304" s="552">
        <f t="shared" si="63"/>
        <v>2</v>
      </c>
      <c r="AK304" s="552">
        <f t="shared" si="63"/>
        <v>2</v>
      </c>
      <c r="AL304" s="552">
        <f t="shared" si="63"/>
        <v>2</v>
      </c>
      <c r="AM304" s="552">
        <f t="shared" si="63"/>
        <v>2</v>
      </c>
      <c r="AN304" s="552">
        <f t="shared" si="63"/>
        <v>2</v>
      </c>
      <c r="AO304" s="552">
        <f t="shared" si="63"/>
        <v>2</v>
      </c>
      <c r="AP304" s="552">
        <f t="shared" si="63"/>
        <v>2</v>
      </c>
      <c r="AQ304" s="552">
        <f t="shared" si="63"/>
        <v>2</v>
      </c>
      <c r="AR304" s="552">
        <f t="shared" si="63"/>
        <v>2</v>
      </c>
      <c r="AS304" s="552">
        <f t="shared" si="63"/>
        <v>2</v>
      </c>
      <c r="AT304" s="552">
        <f t="shared" si="63"/>
        <v>2</v>
      </c>
      <c r="AU304" s="552">
        <f t="shared" si="63"/>
        <v>2</v>
      </c>
      <c r="AV304" s="552">
        <f t="shared" si="63"/>
        <v>2</v>
      </c>
      <c r="AW304" s="552">
        <f t="shared" si="63"/>
        <v>2</v>
      </c>
      <c r="AX304" s="552">
        <f t="shared" si="63"/>
        <v>2</v>
      </c>
      <c r="AY304" s="552">
        <f t="shared" si="63"/>
        <v>2</v>
      </c>
      <c r="AZ304" s="552">
        <f t="shared" si="63"/>
        <v>0</v>
      </c>
      <c r="BA304" s="552">
        <f t="shared" si="63"/>
        <v>2</v>
      </c>
      <c r="BB304" s="552">
        <f t="shared" si="63"/>
        <v>2</v>
      </c>
      <c r="BC304" s="552">
        <f t="shared" si="63"/>
        <v>2</v>
      </c>
      <c r="BD304" s="552">
        <f t="shared" si="63"/>
        <v>2</v>
      </c>
      <c r="BE304" s="552">
        <f t="shared" si="63"/>
        <v>2</v>
      </c>
      <c r="BF304" s="552">
        <f t="shared" si="63"/>
        <v>2</v>
      </c>
      <c r="BG304" s="552">
        <f t="shared" si="63"/>
        <v>2</v>
      </c>
      <c r="BH304" s="552">
        <f t="shared" si="63"/>
        <v>2</v>
      </c>
      <c r="BI304" s="552">
        <f t="shared" si="63"/>
        <v>2</v>
      </c>
      <c r="BJ304" s="552">
        <f t="shared" si="63"/>
        <v>2</v>
      </c>
      <c r="BK304" s="552">
        <f t="shared" si="63"/>
        <v>2</v>
      </c>
      <c r="BL304" s="552">
        <f t="shared" si="63"/>
        <v>2</v>
      </c>
      <c r="BM304" s="552">
        <f t="shared" si="63"/>
        <v>2</v>
      </c>
      <c r="BN304" s="552">
        <f t="shared" ref="BN304:BR304" si="64">BN252</f>
        <v>2</v>
      </c>
      <c r="BO304" s="552">
        <f t="shared" si="64"/>
        <v>2</v>
      </c>
      <c r="BP304" s="552">
        <f t="shared" si="64"/>
        <v>2</v>
      </c>
      <c r="BQ304" s="552">
        <f t="shared" si="64"/>
        <v>2</v>
      </c>
      <c r="BR304" s="552">
        <f t="shared" si="64"/>
        <v>2</v>
      </c>
      <c r="BS304" s="552">
        <f t="shared" ref="BS304:CD304" si="65">BS252</f>
        <v>2</v>
      </c>
      <c r="BT304" s="552">
        <f t="shared" si="65"/>
        <v>2</v>
      </c>
      <c r="BU304" s="552">
        <f t="shared" si="65"/>
        <v>2</v>
      </c>
      <c r="BV304" s="552">
        <f t="shared" si="65"/>
        <v>2</v>
      </c>
      <c r="BW304" s="552">
        <f t="shared" si="65"/>
        <v>2</v>
      </c>
      <c r="BX304" s="552">
        <f t="shared" si="65"/>
        <v>2</v>
      </c>
      <c r="BY304" s="552">
        <f t="shared" si="65"/>
        <v>2</v>
      </c>
      <c r="BZ304" s="552">
        <f t="shared" si="65"/>
        <v>2</v>
      </c>
      <c r="CA304" s="552">
        <f t="shared" si="65"/>
        <v>2</v>
      </c>
      <c r="CB304" s="552">
        <f t="shared" si="65"/>
        <v>2</v>
      </c>
      <c r="CC304" s="552">
        <f t="shared" si="65"/>
        <v>2</v>
      </c>
      <c r="CD304" s="552">
        <f t="shared" si="65"/>
        <v>2</v>
      </c>
      <c r="CE304" s="551"/>
      <c r="CF304" s="551"/>
      <c r="CG304" s="551"/>
      <c r="CH304" s="551"/>
      <c r="CI304" s="551"/>
      <c r="CJ304" s="551"/>
      <c r="CK304" s="551"/>
      <c r="CL304" s="551"/>
      <c r="CM304" s="551"/>
      <c r="CN304" s="551"/>
      <c r="CO304" s="551"/>
      <c r="CP304" s="551"/>
      <c r="CQ304" s="551"/>
      <c r="CR304" s="551"/>
      <c r="CS304" s="551"/>
      <c r="CT304" s="551"/>
      <c r="CU304" s="551"/>
      <c r="CV304" s="551"/>
      <c r="CW304" s="551"/>
      <c r="CX304" s="551"/>
      <c r="CY304" s="551"/>
      <c r="CZ304" s="551"/>
    </row>
    <row r="305" spans="1:104" x14ac:dyDescent="0.3">
      <c r="A305" s="552">
        <f>A253</f>
        <v>1071</v>
      </c>
      <c r="B305" s="552" t="str">
        <f t="shared" ref="B305:BM305" si="66">B253</f>
        <v>Please list the amount of ARPA funds expended in total this fiscal year for non-capital purposes.  Enter "zero" if no ARPA funds expended for this fiscal year for non-capital purposes.</v>
      </c>
      <c r="C305" s="552">
        <f t="shared" si="66"/>
        <v>0</v>
      </c>
      <c r="D305" s="552">
        <f t="shared" si="66"/>
        <v>0</v>
      </c>
      <c r="E305" s="552">
        <f t="shared" si="66"/>
        <v>0</v>
      </c>
      <c r="F305" s="552">
        <f t="shared" si="66"/>
        <v>114586</v>
      </c>
      <c r="G305" s="552">
        <f t="shared" si="66"/>
        <v>0</v>
      </c>
      <c r="H305" s="552">
        <f t="shared" si="66"/>
        <v>90063</v>
      </c>
      <c r="I305" s="552">
        <f t="shared" si="66"/>
        <v>86098</v>
      </c>
      <c r="J305" s="552">
        <f t="shared" si="66"/>
        <v>0</v>
      </c>
      <c r="K305" s="552">
        <f t="shared" si="66"/>
        <v>15623</v>
      </c>
      <c r="L305" s="552">
        <f t="shared" si="66"/>
        <v>1518275</v>
      </c>
      <c r="M305" s="552">
        <f t="shared" si="66"/>
        <v>103983</v>
      </c>
      <c r="N305" s="552">
        <f t="shared" si="66"/>
        <v>500964</v>
      </c>
      <c r="O305" s="552">
        <f t="shared" si="66"/>
        <v>2667179</v>
      </c>
      <c r="P305" s="552">
        <f t="shared" si="66"/>
        <v>2231</v>
      </c>
      <c r="Q305" s="552">
        <f t="shared" si="66"/>
        <v>2282511</v>
      </c>
      <c r="R305" s="552">
        <f t="shared" si="66"/>
        <v>14182</v>
      </c>
      <c r="S305" s="552">
        <f t="shared" si="66"/>
        <v>0</v>
      </c>
      <c r="T305" s="552">
        <f t="shared" si="66"/>
        <v>0</v>
      </c>
      <c r="U305" s="552">
        <f t="shared" si="66"/>
        <v>166041</v>
      </c>
      <c r="V305" s="552">
        <f t="shared" si="66"/>
        <v>4114</v>
      </c>
      <c r="W305" s="552">
        <f t="shared" si="66"/>
        <v>714201</v>
      </c>
      <c r="X305" s="552">
        <f t="shared" si="66"/>
        <v>58000</v>
      </c>
      <c r="Y305" s="552">
        <f t="shared" si="66"/>
        <v>201098</v>
      </c>
      <c r="Z305" s="552">
        <f t="shared" si="66"/>
        <v>0</v>
      </c>
      <c r="AA305" s="552">
        <f t="shared" si="66"/>
        <v>0</v>
      </c>
      <c r="AB305" s="552">
        <f t="shared" si="66"/>
        <v>0</v>
      </c>
      <c r="AC305" s="552">
        <f t="shared" si="66"/>
        <v>10000000</v>
      </c>
      <c r="AD305" s="552">
        <f t="shared" si="66"/>
        <v>146282</v>
      </c>
      <c r="AE305" s="552">
        <f t="shared" si="66"/>
        <v>0</v>
      </c>
      <c r="AF305" s="552">
        <f t="shared" si="66"/>
        <v>930334</v>
      </c>
      <c r="AG305" s="552">
        <f t="shared" si="66"/>
        <v>0</v>
      </c>
      <c r="AH305" s="552">
        <f t="shared" si="66"/>
        <v>0</v>
      </c>
      <c r="AI305" s="552">
        <f t="shared" si="66"/>
        <v>1169460</v>
      </c>
      <c r="AJ305" s="552">
        <f t="shared" si="66"/>
        <v>236316</v>
      </c>
      <c r="AK305" s="552">
        <f t="shared" si="66"/>
        <v>0</v>
      </c>
      <c r="AL305" s="552">
        <f t="shared" si="66"/>
        <v>4506701</v>
      </c>
      <c r="AM305" s="552">
        <f t="shared" si="66"/>
        <v>47964</v>
      </c>
      <c r="AN305" s="552">
        <f t="shared" si="66"/>
        <v>0</v>
      </c>
      <c r="AO305" s="552">
        <f t="shared" si="66"/>
        <v>3824</v>
      </c>
      <c r="AP305" s="552">
        <f t="shared" si="66"/>
        <v>742406</v>
      </c>
      <c r="AQ305" s="552">
        <f t="shared" si="66"/>
        <v>479958</v>
      </c>
      <c r="AR305" s="552">
        <f t="shared" si="66"/>
        <v>0</v>
      </c>
      <c r="AS305" s="552">
        <f t="shared" si="66"/>
        <v>0</v>
      </c>
      <c r="AT305" s="552">
        <f t="shared" si="66"/>
        <v>0</v>
      </c>
      <c r="AU305" s="552">
        <f t="shared" si="66"/>
        <v>55993840</v>
      </c>
      <c r="AV305" s="552">
        <f t="shared" si="66"/>
        <v>813419</v>
      </c>
      <c r="AW305" s="552">
        <f t="shared" si="66"/>
        <v>12204</v>
      </c>
      <c r="AX305" s="552">
        <f t="shared" si="66"/>
        <v>59275</v>
      </c>
      <c r="AY305" s="552">
        <f t="shared" si="66"/>
        <v>140195</v>
      </c>
      <c r="AZ305" s="552">
        <f t="shared" si="66"/>
        <v>0</v>
      </c>
      <c r="BA305" s="552">
        <f t="shared" si="66"/>
        <v>102971</v>
      </c>
      <c r="BB305" s="552">
        <f t="shared" si="66"/>
        <v>47389</v>
      </c>
      <c r="BC305" s="552">
        <f t="shared" si="66"/>
        <v>0</v>
      </c>
      <c r="BD305" s="552">
        <f t="shared" si="66"/>
        <v>0</v>
      </c>
      <c r="BE305" s="552">
        <f t="shared" si="66"/>
        <v>15616</v>
      </c>
      <c r="BF305" s="552">
        <f t="shared" si="66"/>
        <v>0</v>
      </c>
      <c r="BG305" s="552">
        <f t="shared" si="66"/>
        <v>12110</v>
      </c>
      <c r="BH305" s="552">
        <f t="shared" si="66"/>
        <v>0</v>
      </c>
      <c r="BI305" s="552">
        <f t="shared" si="66"/>
        <v>70633</v>
      </c>
      <c r="BJ305" s="552">
        <f t="shared" si="66"/>
        <v>1720</v>
      </c>
      <c r="BK305" s="552">
        <f t="shared" si="66"/>
        <v>0</v>
      </c>
      <c r="BL305" s="552">
        <f t="shared" si="66"/>
        <v>1000000</v>
      </c>
      <c r="BM305" s="552">
        <f t="shared" si="66"/>
        <v>4511800</v>
      </c>
      <c r="BN305" s="552">
        <f t="shared" ref="BN305:BR305" si="67">BN253</f>
        <v>0</v>
      </c>
      <c r="BO305" s="552">
        <f t="shared" si="67"/>
        <v>4118501</v>
      </c>
      <c r="BP305" s="552">
        <f t="shared" si="67"/>
        <v>13543098</v>
      </c>
      <c r="BQ305" s="552">
        <f t="shared" si="67"/>
        <v>211877</v>
      </c>
      <c r="BR305" s="552">
        <f t="shared" si="67"/>
        <v>312801</v>
      </c>
      <c r="BS305" s="552">
        <f t="shared" ref="BS305:CD305" si="68">BS253</f>
        <v>290087</v>
      </c>
      <c r="BT305" s="552">
        <f t="shared" si="68"/>
        <v>0</v>
      </c>
      <c r="BU305" s="552">
        <f t="shared" si="68"/>
        <v>0</v>
      </c>
      <c r="BV305" s="552">
        <f t="shared" si="68"/>
        <v>73772</v>
      </c>
      <c r="BW305" s="552">
        <f t="shared" si="68"/>
        <v>211616</v>
      </c>
      <c r="BX305" s="552">
        <f t="shared" si="68"/>
        <v>0</v>
      </c>
      <c r="BY305" s="552">
        <f t="shared" si="68"/>
        <v>3503869</v>
      </c>
      <c r="BZ305" s="552">
        <f t="shared" si="68"/>
        <v>61827</v>
      </c>
      <c r="CA305" s="552">
        <f t="shared" si="68"/>
        <v>0</v>
      </c>
      <c r="CB305" s="552">
        <f t="shared" si="68"/>
        <v>91944</v>
      </c>
      <c r="CC305" s="552">
        <f t="shared" si="68"/>
        <v>687751</v>
      </c>
      <c r="CD305" s="552">
        <f t="shared" si="68"/>
        <v>4809066</v>
      </c>
      <c r="CE305" s="551"/>
      <c r="CF305" s="551"/>
      <c r="CG305" s="551"/>
      <c r="CH305" s="551"/>
      <c r="CI305" s="551"/>
      <c r="CJ305" s="551"/>
      <c r="CK305" s="551"/>
      <c r="CL305" s="551"/>
      <c r="CM305" s="551"/>
      <c r="CN305" s="551"/>
      <c r="CO305" s="551"/>
      <c r="CP305" s="551"/>
      <c r="CQ305" s="551"/>
      <c r="CR305" s="551"/>
      <c r="CS305" s="551"/>
      <c r="CT305" s="551"/>
      <c r="CU305" s="551"/>
      <c r="CV305" s="551"/>
      <c r="CW305" s="551"/>
      <c r="CX305" s="551"/>
      <c r="CY305" s="551"/>
      <c r="CZ305" s="551"/>
    </row>
    <row r="306" spans="1:104" s="180" customFormat="1" x14ac:dyDescent="0.3">
      <c r="A306" s="155">
        <f>A230</f>
        <v>995</v>
      </c>
      <c r="B306" s="155" t="str">
        <f t="shared" ref="B306:BM306" si="69">B230</f>
        <v>Units with Electric Operations have $.07, $.08, $.09</v>
      </c>
      <c r="C306" s="155">
        <f t="shared" si="69"/>
        <v>0</v>
      </c>
      <c r="D306" s="155">
        <f t="shared" si="69"/>
        <v>0</v>
      </c>
      <c r="E306" s="155">
        <f t="shared" si="69"/>
        <v>0</v>
      </c>
      <c r="F306" s="155">
        <f t="shared" si="69"/>
        <v>0</v>
      </c>
      <c r="G306" s="155">
        <f t="shared" si="69"/>
        <v>0</v>
      </c>
      <c r="H306" s="155">
        <f t="shared" si="69"/>
        <v>0</v>
      </c>
      <c r="I306" s="155">
        <f t="shared" si="69"/>
        <v>0</v>
      </c>
      <c r="J306" s="155">
        <f t="shared" si="69"/>
        <v>0</v>
      </c>
      <c r="K306" s="155">
        <f t="shared" si="69"/>
        <v>0</v>
      </c>
      <c r="L306" s="155">
        <f t="shared" si="69"/>
        <v>0.08</v>
      </c>
      <c r="M306" s="155">
        <f t="shared" si="69"/>
        <v>0</v>
      </c>
      <c r="N306" s="155">
        <f t="shared" si="69"/>
        <v>0</v>
      </c>
      <c r="O306" s="155">
        <f t="shared" si="69"/>
        <v>0</v>
      </c>
      <c r="P306" s="155">
        <f t="shared" si="69"/>
        <v>0</v>
      </c>
      <c r="Q306" s="155">
        <f t="shared" si="69"/>
        <v>0.09</v>
      </c>
      <c r="R306" s="155">
        <f t="shared" si="69"/>
        <v>0</v>
      </c>
      <c r="S306" s="155">
        <f t="shared" si="69"/>
        <v>0.09</v>
      </c>
      <c r="T306" s="155">
        <f t="shared" si="69"/>
        <v>0</v>
      </c>
      <c r="U306" s="155">
        <f t="shared" si="69"/>
        <v>0</v>
      </c>
      <c r="V306" s="155">
        <f t="shared" si="69"/>
        <v>0</v>
      </c>
      <c r="W306" s="155">
        <f t="shared" si="69"/>
        <v>0</v>
      </c>
      <c r="X306" s="155">
        <f t="shared" si="69"/>
        <v>0</v>
      </c>
      <c r="Y306" s="155">
        <f t="shared" si="69"/>
        <v>0.08</v>
      </c>
      <c r="Z306" s="155">
        <f t="shared" si="69"/>
        <v>0</v>
      </c>
      <c r="AA306" s="155">
        <f t="shared" si="69"/>
        <v>0</v>
      </c>
      <c r="AB306" s="155">
        <f t="shared" si="69"/>
        <v>0</v>
      </c>
      <c r="AC306" s="155">
        <f t="shared" si="69"/>
        <v>0</v>
      </c>
      <c r="AD306" s="155">
        <f t="shared" si="69"/>
        <v>0</v>
      </c>
      <c r="AE306" s="155">
        <f t="shared" si="69"/>
        <v>0</v>
      </c>
      <c r="AF306" s="155">
        <f t="shared" si="69"/>
        <v>7.0000000000000007E-2</v>
      </c>
      <c r="AG306" s="155">
        <f t="shared" si="69"/>
        <v>0</v>
      </c>
      <c r="AH306" s="155">
        <f t="shared" si="69"/>
        <v>0</v>
      </c>
      <c r="AI306" s="155">
        <f t="shared" si="69"/>
        <v>0</v>
      </c>
      <c r="AJ306" s="155">
        <f t="shared" si="69"/>
        <v>0</v>
      </c>
      <c r="AK306" s="155">
        <f t="shared" si="69"/>
        <v>0</v>
      </c>
      <c r="AL306" s="155">
        <f t="shared" si="69"/>
        <v>0</v>
      </c>
      <c r="AM306" s="155">
        <f t="shared" si="69"/>
        <v>0</v>
      </c>
      <c r="AN306" s="155">
        <f t="shared" si="69"/>
        <v>0</v>
      </c>
      <c r="AO306" s="155">
        <f t="shared" si="69"/>
        <v>0</v>
      </c>
      <c r="AP306" s="155">
        <f t="shared" si="69"/>
        <v>7.0000000000000007E-2</v>
      </c>
      <c r="AQ306" s="155">
        <f t="shared" si="69"/>
        <v>0</v>
      </c>
      <c r="AR306" s="155">
        <f t="shared" si="69"/>
        <v>0</v>
      </c>
      <c r="AS306" s="155">
        <f t="shared" si="69"/>
        <v>0</v>
      </c>
      <c r="AT306" s="155">
        <f t="shared" si="69"/>
        <v>0</v>
      </c>
      <c r="AU306" s="155">
        <f t="shared" si="69"/>
        <v>0</v>
      </c>
      <c r="AV306" s="155">
        <f t="shared" si="69"/>
        <v>0.08</v>
      </c>
      <c r="AW306" s="155">
        <f t="shared" si="69"/>
        <v>0</v>
      </c>
      <c r="AX306" s="155">
        <f t="shared" si="69"/>
        <v>0</v>
      </c>
      <c r="AY306" s="155">
        <f t="shared" si="69"/>
        <v>0</v>
      </c>
      <c r="AZ306" s="155">
        <f t="shared" si="69"/>
        <v>0</v>
      </c>
      <c r="BA306" s="155">
        <f t="shared" si="69"/>
        <v>0.08</v>
      </c>
      <c r="BB306" s="155">
        <f t="shared" si="69"/>
        <v>0</v>
      </c>
      <c r="BC306" s="155">
        <f t="shared" si="69"/>
        <v>0</v>
      </c>
      <c r="BD306" s="155">
        <f t="shared" si="69"/>
        <v>0</v>
      </c>
      <c r="BE306" s="155">
        <f t="shared" si="69"/>
        <v>0</v>
      </c>
      <c r="BF306" s="155">
        <f t="shared" si="69"/>
        <v>0</v>
      </c>
      <c r="BG306" s="155">
        <f t="shared" si="69"/>
        <v>0</v>
      </c>
      <c r="BH306" s="155">
        <f t="shared" si="69"/>
        <v>0</v>
      </c>
      <c r="BI306" s="155">
        <f t="shared" si="69"/>
        <v>0</v>
      </c>
      <c r="BJ306" s="155">
        <f t="shared" si="69"/>
        <v>0</v>
      </c>
      <c r="BK306" s="155">
        <f t="shared" si="69"/>
        <v>0</v>
      </c>
      <c r="BL306" s="155">
        <f t="shared" si="69"/>
        <v>0</v>
      </c>
      <c r="BM306" s="155">
        <f t="shared" si="69"/>
        <v>0</v>
      </c>
      <c r="BN306" s="155">
        <f t="shared" ref="BN306:BR306" si="70">BN230</f>
        <v>0.08</v>
      </c>
      <c r="BO306" s="155">
        <f t="shared" si="70"/>
        <v>0</v>
      </c>
      <c r="BP306" s="155">
        <f t="shared" si="70"/>
        <v>7.0000000000000007E-2</v>
      </c>
      <c r="BQ306" s="155">
        <f t="shared" si="70"/>
        <v>0</v>
      </c>
      <c r="BR306" s="155">
        <f t="shared" si="70"/>
        <v>0.09</v>
      </c>
      <c r="BS306" s="155">
        <f t="shared" ref="BS306:CD306" si="71">BS230</f>
        <v>0</v>
      </c>
      <c r="BT306" s="155">
        <f t="shared" si="71"/>
        <v>0</v>
      </c>
      <c r="BU306" s="155">
        <f t="shared" si="71"/>
        <v>0.08</v>
      </c>
      <c r="BV306" s="155">
        <f t="shared" si="71"/>
        <v>0</v>
      </c>
      <c r="BW306" s="155">
        <f t="shared" si="71"/>
        <v>0</v>
      </c>
      <c r="BX306" s="155">
        <f t="shared" si="71"/>
        <v>0</v>
      </c>
      <c r="BY306" s="155">
        <f t="shared" si="71"/>
        <v>0</v>
      </c>
      <c r="BZ306" s="155">
        <f t="shared" si="71"/>
        <v>0.08</v>
      </c>
      <c r="CA306" s="155">
        <f t="shared" si="71"/>
        <v>0</v>
      </c>
      <c r="CB306" s="155">
        <f t="shared" si="71"/>
        <v>0</v>
      </c>
      <c r="CC306" s="155">
        <f t="shared" si="71"/>
        <v>0</v>
      </c>
      <c r="CD306" s="155">
        <f t="shared" si="71"/>
        <v>7.0000000000000007E-2</v>
      </c>
      <c r="CE306" s="551"/>
      <c r="CF306" s="551"/>
      <c r="CG306" s="551"/>
      <c r="CH306" s="551"/>
      <c r="CI306" s="551"/>
      <c r="CJ306" s="551"/>
      <c r="CK306" s="551"/>
      <c r="CL306" s="551"/>
      <c r="CM306" s="551"/>
      <c r="CN306" s="551"/>
      <c r="CO306" s="551"/>
      <c r="CP306" s="551"/>
      <c r="CQ306" s="551"/>
      <c r="CR306" s="551"/>
      <c r="CS306" s="551"/>
      <c r="CT306" s="551"/>
      <c r="CU306" s="551"/>
      <c r="CV306" s="551"/>
      <c r="CW306" s="551"/>
      <c r="CX306" s="551"/>
      <c r="CY306" s="551"/>
      <c r="CZ306" s="551"/>
    </row>
    <row r="307" spans="1:104" s="180" customFormat="1" x14ac:dyDescent="0.3">
      <c r="A307" s="155">
        <f>A231</f>
        <v>996</v>
      </c>
      <c r="B307" s="155" t="str">
        <f t="shared" ref="B307:BM308" si="72">B231</f>
        <v>Units with Water Sewer Operations have $.01</v>
      </c>
      <c r="C307" s="155">
        <f t="shared" si="72"/>
        <v>0</v>
      </c>
      <c r="D307" s="155">
        <f t="shared" si="72"/>
        <v>0.01</v>
      </c>
      <c r="E307" s="155">
        <f t="shared" si="72"/>
        <v>0.01</v>
      </c>
      <c r="F307" s="155">
        <f t="shared" si="72"/>
        <v>0</v>
      </c>
      <c r="G307" s="155">
        <f t="shared" si="72"/>
        <v>0.01</v>
      </c>
      <c r="H307" s="155">
        <f t="shared" si="72"/>
        <v>0.01</v>
      </c>
      <c r="I307" s="155">
        <f t="shared" si="72"/>
        <v>0.01</v>
      </c>
      <c r="J307" s="155">
        <f t="shared" si="72"/>
        <v>0</v>
      </c>
      <c r="K307" s="155">
        <f t="shared" si="72"/>
        <v>0.01</v>
      </c>
      <c r="L307" s="155">
        <f t="shared" si="72"/>
        <v>0.01</v>
      </c>
      <c r="M307" s="155">
        <f t="shared" si="72"/>
        <v>0</v>
      </c>
      <c r="N307" s="155">
        <f t="shared" si="72"/>
        <v>0</v>
      </c>
      <c r="O307" s="155">
        <f t="shared" si="72"/>
        <v>0</v>
      </c>
      <c r="P307" s="155">
        <f t="shared" si="72"/>
        <v>0.01</v>
      </c>
      <c r="Q307" s="155">
        <f t="shared" si="72"/>
        <v>0.01</v>
      </c>
      <c r="R307" s="155">
        <f t="shared" si="72"/>
        <v>0</v>
      </c>
      <c r="S307" s="155">
        <f t="shared" si="72"/>
        <v>0.01</v>
      </c>
      <c r="T307" s="155">
        <f t="shared" si="72"/>
        <v>0.01</v>
      </c>
      <c r="U307" s="155">
        <f t="shared" si="72"/>
        <v>0.01</v>
      </c>
      <c r="V307" s="155">
        <f t="shared" si="72"/>
        <v>0.01</v>
      </c>
      <c r="W307" s="155">
        <f t="shared" si="72"/>
        <v>0</v>
      </c>
      <c r="X307" s="155">
        <f t="shared" si="72"/>
        <v>0.01</v>
      </c>
      <c r="Y307" s="155">
        <f t="shared" si="72"/>
        <v>0.01</v>
      </c>
      <c r="Z307" s="155">
        <f t="shared" si="72"/>
        <v>0.01</v>
      </c>
      <c r="AA307" s="155">
        <f t="shared" si="72"/>
        <v>0.01</v>
      </c>
      <c r="AB307" s="155">
        <f t="shared" si="72"/>
        <v>0.01</v>
      </c>
      <c r="AC307" s="155">
        <f t="shared" si="72"/>
        <v>0</v>
      </c>
      <c r="AD307" s="155">
        <f t="shared" si="72"/>
        <v>0</v>
      </c>
      <c r="AE307" s="155">
        <f t="shared" si="72"/>
        <v>0</v>
      </c>
      <c r="AF307" s="155">
        <f t="shared" si="72"/>
        <v>0.01</v>
      </c>
      <c r="AG307" s="155">
        <f t="shared" si="72"/>
        <v>0</v>
      </c>
      <c r="AH307" s="155">
        <f t="shared" si="72"/>
        <v>0.01</v>
      </c>
      <c r="AI307" s="155">
        <f t="shared" si="72"/>
        <v>0.01</v>
      </c>
      <c r="AJ307" s="155">
        <f t="shared" si="72"/>
        <v>0.01</v>
      </c>
      <c r="AK307" s="155">
        <f t="shared" si="72"/>
        <v>0.01</v>
      </c>
      <c r="AL307" s="155">
        <f t="shared" si="72"/>
        <v>0.01</v>
      </c>
      <c r="AM307" s="155">
        <f t="shared" si="72"/>
        <v>0.01</v>
      </c>
      <c r="AN307" s="155">
        <f t="shared" si="72"/>
        <v>0.01</v>
      </c>
      <c r="AO307" s="155">
        <f t="shared" si="72"/>
        <v>0</v>
      </c>
      <c r="AP307" s="155">
        <f t="shared" si="72"/>
        <v>0.01</v>
      </c>
      <c r="AQ307" s="565">
        <v>0</v>
      </c>
      <c r="AR307" s="155">
        <f t="shared" si="72"/>
        <v>0</v>
      </c>
      <c r="AS307" s="155">
        <f t="shared" si="72"/>
        <v>0.01</v>
      </c>
      <c r="AT307" s="155">
        <f t="shared" si="72"/>
        <v>0.01</v>
      </c>
      <c r="AU307" s="155">
        <f t="shared" si="72"/>
        <v>0.01</v>
      </c>
      <c r="AV307" s="155">
        <f t="shared" si="72"/>
        <v>0.01</v>
      </c>
      <c r="AW307" s="155">
        <f t="shared" si="72"/>
        <v>0.01</v>
      </c>
      <c r="AX307" s="155">
        <f t="shared" si="72"/>
        <v>0.01</v>
      </c>
      <c r="AY307" s="155">
        <f t="shared" si="72"/>
        <v>0.01</v>
      </c>
      <c r="AZ307" s="155">
        <f t="shared" si="72"/>
        <v>0.01</v>
      </c>
      <c r="BA307" s="155">
        <f t="shared" si="72"/>
        <v>0.01</v>
      </c>
      <c r="BB307" s="155">
        <f t="shared" si="72"/>
        <v>0.01</v>
      </c>
      <c r="BC307" s="155">
        <f t="shared" si="72"/>
        <v>0.01</v>
      </c>
      <c r="BD307" s="155">
        <f t="shared" si="72"/>
        <v>0</v>
      </c>
      <c r="BE307" s="155">
        <f t="shared" si="72"/>
        <v>0.01</v>
      </c>
      <c r="BF307" s="155">
        <f t="shared" si="72"/>
        <v>0.01</v>
      </c>
      <c r="BG307" s="155">
        <f t="shared" si="72"/>
        <v>0</v>
      </c>
      <c r="BH307" s="155">
        <f t="shared" si="72"/>
        <v>0.01</v>
      </c>
      <c r="BI307" s="155">
        <f t="shared" si="72"/>
        <v>0.01</v>
      </c>
      <c r="BJ307" s="155">
        <f t="shared" si="72"/>
        <v>0</v>
      </c>
      <c r="BK307" s="155">
        <f t="shared" si="72"/>
        <v>0</v>
      </c>
      <c r="BL307" s="155">
        <f t="shared" si="72"/>
        <v>0.01</v>
      </c>
      <c r="BM307" s="155">
        <f t="shared" si="72"/>
        <v>0.01</v>
      </c>
      <c r="BN307" s="155">
        <f t="shared" ref="BN307:BR309" si="73">BN231</f>
        <v>0.01</v>
      </c>
      <c r="BO307" s="155">
        <f t="shared" si="73"/>
        <v>0.01</v>
      </c>
      <c r="BP307" s="155">
        <f t="shared" si="73"/>
        <v>0.01</v>
      </c>
      <c r="BQ307" s="155">
        <f t="shared" si="73"/>
        <v>0.01</v>
      </c>
      <c r="BR307" s="155">
        <f t="shared" si="73"/>
        <v>0.01</v>
      </c>
      <c r="BS307" s="155">
        <f t="shared" ref="BS307:CD307" si="74">BS231</f>
        <v>0</v>
      </c>
      <c r="BT307" s="155">
        <f t="shared" si="74"/>
        <v>0.01</v>
      </c>
      <c r="BU307" s="155">
        <f t="shared" si="74"/>
        <v>0.01</v>
      </c>
      <c r="BV307" s="155">
        <f t="shared" si="74"/>
        <v>0.01</v>
      </c>
      <c r="BW307" s="155">
        <f t="shared" si="74"/>
        <v>0.01</v>
      </c>
      <c r="BX307" s="155">
        <f t="shared" si="74"/>
        <v>0</v>
      </c>
      <c r="BY307" s="155">
        <f t="shared" si="74"/>
        <v>0.01</v>
      </c>
      <c r="BZ307" s="155">
        <f t="shared" si="74"/>
        <v>0.01</v>
      </c>
      <c r="CA307" s="155">
        <f t="shared" si="74"/>
        <v>0</v>
      </c>
      <c r="CB307" s="155">
        <f t="shared" si="74"/>
        <v>0.01</v>
      </c>
      <c r="CC307" s="155">
        <f t="shared" si="74"/>
        <v>0</v>
      </c>
      <c r="CD307" s="155">
        <f t="shared" si="74"/>
        <v>0</v>
      </c>
      <c r="CE307" s="551"/>
      <c r="CF307" s="551"/>
      <c r="CG307" s="551"/>
      <c r="CH307" s="551"/>
      <c r="CI307" s="551"/>
      <c r="CJ307" s="551"/>
      <c r="CK307" s="551"/>
      <c r="CL307" s="551"/>
      <c r="CM307" s="551"/>
      <c r="CN307" s="551"/>
      <c r="CO307" s="551"/>
      <c r="CP307" s="551"/>
      <c r="CQ307" s="551"/>
      <c r="CR307" s="551"/>
      <c r="CS307" s="551"/>
      <c r="CT307" s="551"/>
      <c r="CU307" s="551"/>
      <c r="CV307" s="551"/>
      <c r="CW307" s="551"/>
      <c r="CX307" s="551"/>
      <c r="CY307" s="551"/>
      <c r="CZ307" s="551"/>
    </row>
    <row r="308" spans="1:104" x14ac:dyDescent="0.3">
      <c r="A308" s="155">
        <f t="shared" ref="A308:P309" si="75">A232</f>
        <v>998</v>
      </c>
      <c r="B308" s="155" t="str">
        <f t="shared" si="75"/>
        <v>CCH Unit Type</v>
      </c>
      <c r="C308" s="155">
        <f t="shared" si="75"/>
        <v>0</v>
      </c>
      <c r="D308" s="155">
        <f t="shared" si="75"/>
        <v>50</v>
      </c>
      <c r="E308" s="155">
        <f t="shared" si="75"/>
        <v>50</v>
      </c>
      <c r="F308" s="155">
        <f t="shared" si="75"/>
        <v>50</v>
      </c>
      <c r="G308" s="155">
        <f t="shared" si="75"/>
        <v>50</v>
      </c>
      <c r="H308" s="155">
        <f t="shared" si="75"/>
        <v>50</v>
      </c>
      <c r="I308" s="155">
        <f t="shared" si="75"/>
        <v>50</v>
      </c>
      <c r="J308" s="155">
        <f t="shared" si="75"/>
        <v>50</v>
      </c>
      <c r="K308" s="155">
        <f t="shared" si="75"/>
        <v>50</v>
      </c>
      <c r="L308" s="155">
        <f t="shared" si="75"/>
        <v>50</v>
      </c>
      <c r="M308" s="155">
        <f t="shared" si="75"/>
        <v>50</v>
      </c>
      <c r="N308" s="155">
        <f t="shared" si="75"/>
        <v>50</v>
      </c>
      <c r="O308" s="155">
        <f t="shared" si="75"/>
        <v>50</v>
      </c>
      <c r="P308" s="155">
        <f t="shared" si="75"/>
        <v>50</v>
      </c>
      <c r="Q308" s="155">
        <f t="shared" si="72"/>
        <v>50</v>
      </c>
      <c r="R308" s="155">
        <f t="shared" si="72"/>
        <v>50</v>
      </c>
      <c r="S308" s="155">
        <f t="shared" si="72"/>
        <v>50</v>
      </c>
      <c r="T308" s="155">
        <f t="shared" si="72"/>
        <v>50</v>
      </c>
      <c r="U308" s="155">
        <f t="shared" si="72"/>
        <v>50</v>
      </c>
      <c r="V308" s="155">
        <f t="shared" si="72"/>
        <v>50</v>
      </c>
      <c r="W308" s="155">
        <f t="shared" si="72"/>
        <v>50</v>
      </c>
      <c r="X308" s="155">
        <f t="shared" si="72"/>
        <v>50</v>
      </c>
      <c r="Y308" s="155">
        <f t="shared" si="72"/>
        <v>50</v>
      </c>
      <c r="Z308" s="155">
        <f t="shared" si="72"/>
        <v>50</v>
      </c>
      <c r="AA308" s="155">
        <f t="shared" si="72"/>
        <v>50</v>
      </c>
      <c r="AB308" s="155">
        <f t="shared" si="72"/>
        <v>50</v>
      </c>
      <c r="AC308" s="155">
        <f t="shared" si="72"/>
        <v>50</v>
      </c>
      <c r="AD308" s="155">
        <f t="shared" si="72"/>
        <v>50</v>
      </c>
      <c r="AE308" s="155">
        <f t="shared" si="72"/>
        <v>50</v>
      </c>
      <c r="AF308" s="155">
        <f t="shared" si="72"/>
        <v>50</v>
      </c>
      <c r="AG308" s="155">
        <f t="shared" si="72"/>
        <v>50</v>
      </c>
      <c r="AH308" s="155">
        <f t="shared" si="72"/>
        <v>50</v>
      </c>
      <c r="AI308" s="155">
        <f t="shared" si="72"/>
        <v>50</v>
      </c>
      <c r="AJ308" s="155">
        <f t="shared" si="72"/>
        <v>50</v>
      </c>
      <c r="AK308" s="155">
        <f t="shared" si="72"/>
        <v>50</v>
      </c>
      <c r="AL308" s="155">
        <f t="shared" si="72"/>
        <v>50</v>
      </c>
      <c r="AM308" s="155">
        <f t="shared" si="72"/>
        <v>50</v>
      </c>
      <c r="AN308" s="155">
        <f t="shared" si="72"/>
        <v>50</v>
      </c>
      <c r="AO308" s="155">
        <f t="shared" si="72"/>
        <v>50</v>
      </c>
      <c r="AP308" s="155">
        <f t="shared" si="72"/>
        <v>50</v>
      </c>
      <c r="AQ308" s="155">
        <f t="shared" si="72"/>
        <v>50</v>
      </c>
      <c r="AR308" s="155">
        <f t="shared" si="72"/>
        <v>50</v>
      </c>
      <c r="AS308" s="155">
        <f t="shared" si="72"/>
        <v>50</v>
      </c>
      <c r="AT308" s="155">
        <f t="shared" si="72"/>
        <v>50</v>
      </c>
      <c r="AU308" s="155">
        <f t="shared" si="72"/>
        <v>50</v>
      </c>
      <c r="AV308" s="155">
        <f t="shared" si="72"/>
        <v>50</v>
      </c>
      <c r="AW308" s="155">
        <f t="shared" si="72"/>
        <v>50</v>
      </c>
      <c r="AX308" s="155">
        <f t="shared" si="72"/>
        <v>50</v>
      </c>
      <c r="AY308" s="155">
        <f t="shared" si="72"/>
        <v>50</v>
      </c>
      <c r="AZ308" s="155">
        <f t="shared" si="72"/>
        <v>50</v>
      </c>
      <c r="BA308" s="155">
        <f t="shared" si="72"/>
        <v>50</v>
      </c>
      <c r="BB308" s="155">
        <f t="shared" si="72"/>
        <v>50</v>
      </c>
      <c r="BC308" s="155">
        <f t="shared" si="72"/>
        <v>50</v>
      </c>
      <c r="BD308" s="155">
        <f t="shared" si="72"/>
        <v>50</v>
      </c>
      <c r="BE308" s="155">
        <f t="shared" si="72"/>
        <v>50</v>
      </c>
      <c r="BF308" s="155">
        <f t="shared" si="72"/>
        <v>50</v>
      </c>
      <c r="BG308" s="155">
        <f t="shared" si="72"/>
        <v>50</v>
      </c>
      <c r="BH308" s="155">
        <f t="shared" si="72"/>
        <v>50</v>
      </c>
      <c r="BI308" s="155">
        <f t="shared" si="72"/>
        <v>50</v>
      </c>
      <c r="BJ308" s="155">
        <f t="shared" si="72"/>
        <v>50</v>
      </c>
      <c r="BK308" s="155">
        <f t="shared" si="72"/>
        <v>50</v>
      </c>
      <c r="BL308" s="155">
        <f t="shared" si="72"/>
        <v>50</v>
      </c>
      <c r="BM308" s="155">
        <f t="shared" si="72"/>
        <v>50</v>
      </c>
      <c r="BN308" s="155">
        <f t="shared" si="73"/>
        <v>50</v>
      </c>
      <c r="BO308" s="155">
        <f t="shared" si="73"/>
        <v>50</v>
      </c>
      <c r="BP308" s="155">
        <f t="shared" si="73"/>
        <v>50</v>
      </c>
      <c r="BQ308" s="155">
        <f t="shared" si="73"/>
        <v>50</v>
      </c>
      <c r="BR308" s="155">
        <f t="shared" si="73"/>
        <v>50</v>
      </c>
      <c r="BS308" s="155">
        <f t="shared" ref="BS308:CD308" si="76">BS232</f>
        <v>50</v>
      </c>
      <c r="BT308" s="155">
        <f t="shared" si="76"/>
        <v>50</v>
      </c>
      <c r="BU308" s="155">
        <f t="shared" si="76"/>
        <v>50</v>
      </c>
      <c r="BV308" s="155">
        <f t="shared" si="76"/>
        <v>50</v>
      </c>
      <c r="BW308" s="155">
        <f t="shared" si="76"/>
        <v>50</v>
      </c>
      <c r="BX308" s="155">
        <f t="shared" si="76"/>
        <v>50</v>
      </c>
      <c r="BY308" s="155">
        <f t="shared" si="76"/>
        <v>50</v>
      </c>
      <c r="BZ308" s="155">
        <f t="shared" si="76"/>
        <v>50</v>
      </c>
      <c r="CA308" s="155">
        <f t="shared" si="76"/>
        <v>50</v>
      </c>
      <c r="CB308" s="155">
        <f t="shared" si="76"/>
        <v>50</v>
      </c>
      <c r="CC308" s="155">
        <f t="shared" si="76"/>
        <v>50</v>
      </c>
      <c r="CD308" s="155">
        <f t="shared" si="76"/>
        <v>50</v>
      </c>
      <c r="CE308" s="556"/>
      <c r="CF308" s="556"/>
      <c r="CG308" s="556"/>
      <c r="CH308" s="556"/>
      <c r="CI308" s="556"/>
      <c r="CJ308" s="556"/>
      <c r="CK308" s="556"/>
      <c r="CL308" s="556"/>
      <c r="CM308" s="556"/>
      <c r="CN308" s="556"/>
      <c r="CO308" s="556"/>
      <c r="CP308" s="556"/>
      <c r="CQ308" s="556"/>
      <c r="CR308" s="556"/>
      <c r="CS308" s="556"/>
      <c r="CT308" s="556"/>
      <c r="CU308" s="556"/>
      <c r="CV308" s="556"/>
      <c r="CW308" s="556"/>
      <c r="CX308" s="556"/>
      <c r="CY308" s="556"/>
      <c r="CZ308" s="556"/>
    </row>
    <row r="309" spans="1:104" x14ac:dyDescent="0.3">
      <c r="A309" s="155">
        <f t="shared" si="75"/>
        <v>999</v>
      </c>
      <c r="B309" s="155" t="str">
        <f t="shared" ref="B309:BM309" si="77">B233</f>
        <v>CCH Unit Code</v>
      </c>
      <c r="C309" s="155">
        <f t="shared" si="77"/>
        <v>0</v>
      </c>
      <c r="D309" s="155">
        <f t="shared" si="77"/>
        <v>50129</v>
      </c>
      <c r="E309" s="155">
        <f t="shared" si="77"/>
        <v>50130</v>
      </c>
      <c r="F309" s="155">
        <f t="shared" si="77"/>
        <v>50560</v>
      </c>
      <c r="G309" s="155">
        <f t="shared" si="77"/>
        <v>50131</v>
      </c>
      <c r="H309" s="155">
        <f t="shared" si="77"/>
        <v>50132</v>
      </c>
      <c r="I309" s="155">
        <f t="shared" si="77"/>
        <v>50133</v>
      </c>
      <c r="J309" s="155">
        <f t="shared" si="77"/>
        <v>50134</v>
      </c>
      <c r="K309" s="155">
        <f t="shared" si="77"/>
        <v>50473</v>
      </c>
      <c r="L309" s="155">
        <f t="shared" si="77"/>
        <v>50135</v>
      </c>
      <c r="M309" s="155">
        <f t="shared" si="77"/>
        <v>50136</v>
      </c>
      <c r="N309" s="155">
        <f t="shared" si="77"/>
        <v>50514</v>
      </c>
      <c r="O309" s="155">
        <f t="shared" si="77"/>
        <v>50515</v>
      </c>
      <c r="P309" s="155">
        <f t="shared" si="77"/>
        <v>50570</v>
      </c>
      <c r="Q309" s="155">
        <f t="shared" si="77"/>
        <v>50137</v>
      </c>
      <c r="R309" s="155">
        <f t="shared" si="77"/>
        <v>50549</v>
      </c>
      <c r="S309" s="155">
        <f t="shared" si="77"/>
        <v>50138</v>
      </c>
      <c r="T309" s="155">
        <f t="shared" si="77"/>
        <v>50139</v>
      </c>
      <c r="U309" s="155">
        <f t="shared" si="77"/>
        <v>50474</v>
      </c>
      <c r="V309" s="155">
        <f t="shared" si="77"/>
        <v>50140</v>
      </c>
      <c r="W309" s="155">
        <f t="shared" si="77"/>
        <v>50141</v>
      </c>
      <c r="X309" s="155">
        <f t="shared" si="77"/>
        <v>50142</v>
      </c>
      <c r="Y309" s="155">
        <f t="shared" si="77"/>
        <v>50143</v>
      </c>
      <c r="Z309" s="155">
        <f t="shared" si="77"/>
        <v>50144</v>
      </c>
      <c r="AA309" s="155">
        <f t="shared" si="77"/>
        <v>50492</v>
      </c>
      <c r="AB309" s="155">
        <f t="shared" si="77"/>
        <v>50145</v>
      </c>
      <c r="AC309" s="155">
        <f t="shared" si="77"/>
        <v>50146</v>
      </c>
      <c r="AD309" s="155">
        <f t="shared" si="77"/>
        <v>50147</v>
      </c>
      <c r="AE309" s="155">
        <f t="shared" si="77"/>
        <v>50148</v>
      </c>
      <c r="AF309" s="155">
        <f t="shared" si="77"/>
        <v>50149</v>
      </c>
      <c r="AG309" s="155">
        <f t="shared" si="77"/>
        <v>50150</v>
      </c>
      <c r="AH309" s="155">
        <f t="shared" si="77"/>
        <v>50151</v>
      </c>
      <c r="AI309" s="155">
        <f t="shared" si="77"/>
        <v>50152</v>
      </c>
      <c r="AJ309" s="155">
        <f t="shared" si="77"/>
        <v>50153</v>
      </c>
      <c r="AK309" s="155">
        <f t="shared" si="77"/>
        <v>50475</v>
      </c>
      <c r="AL309" s="155">
        <f t="shared" si="77"/>
        <v>50154</v>
      </c>
      <c r="AM309" s="155">
        <f t="shared" si="77"/>
        <v>50155</v>
      </c>
      <c r="AN309" s="155">
        <f t="shared" si="77"/>
        <v>50156</v>
      </c>
      <c r="AO309" s="155">
        <f t="shared" si="77"/>
        <v>50516</v>
      </c>
      <c r="AP309" s="155">
        <f t="shared" si="77"/>
        <v>50157</v>
      </c>
      <c r="AQ309" s="155">
        <f t="shared" si="77"/>
        <v>50158</v>
      </c>
      <c r="AR309" s="155">
        <f t="shared" si="77"/>
        <v>50545</v>
      </c>
      <c r="AS309" s="155">
        <f t="shared" si="77"/>
        <v>50517</v>
      </c>
      <c r="AT309" s="155">
        <f t="shared" si="77"/>
        <v>50448</v>
      </c>
      <c r="AU309" s="155">
        <f t="shared" si="77"/>
        <v>50159</v>
      </c>
      <c r="AV309" s="155">
        <f t="shared" si="77"/>
        <v>50160</v>
      </c>
      <c r="AW309" s="155">
        <f t="shared" si="77"/>
        <v>50161</v>
      </c>
      <c r="AX309" s="155">
        <f t="shared" si="77"/>
        <v>50162</v>
      </c>
      <c r="AY309" s="155">
        <f t="shared" si="77"/>
        <v>50163</v>
      </c>
      <c r="AZ309" s="155">
        <f t="shared" si="77"/>
        <v>50165</v>
      </c>
      <c r="BA309" s="155">
        <f t="shared" si="77"/>
        <v>50166</v>
      </c>
      <c r="BB309" s="155">
        <f t="shared" si="77"/>
        <v>50167</v>
      </c>
      <c r="BC309" s="155">
        <f t="shared" si="77"/>
        <v>50168</v>
      </c>
      <c r="BD309" s="155">
        <f t="shared" si="77"/>
        <v>50169</v>
      </c>
      <c r="BE309" s="155">
        <f t="shared" si="77"/>
        <v>50170</v>
      </c>
      <c r="BF309" s="155">
        <f t="shared" si="77"/>
        <v>50451</v>
      </c>
      <c r="BG309" s="155">
        <f t="shared" si="77"/>
        <v>50171</v>
      </c>
      <c r="BH309" s="155">
        <f t="shared" si="77"/>
        <v>50172</v>
      </c>
      <c r="BI309" s="155">
        <f t="shared" si="77"/>
        <v>50440</v>
      </c>
      <c r="BJ309" s="155">
        <f t="shared" si="77"/>
        <v>50173</v>
      </c>
      <c r="BK309" s="155">
        <f t="shared" si="77"/>
        <v>50547</v>
      </c>
      <c r="BL309" s="155">
        <f t="shared" si="77"/>
        <v>50175</v>
      </c>
      <c r="BM309" s="155">
        <f t="shared" si="77"/>
        <v>50176</v>
      </c>
      <c r="BN309" s="155">
        <f t="shared" si="73"/>
        <v>50177</v>
      </c>
      <c r="BO309" s="155">
        <f t="shared" si="73"/>
        <v>50178</v>
      </c>
      <c r="BP309" s="155">
        <f t="shared" si="73"/>
        <v>50180</v>
      </c>
      <c r="BQ309" s="155">
        <f t="shared" si="73"/>
        <v>50447</v>
      </c>
      <c r="BR309" s="155">
        <f t="shared" si="73"/>
        <v>50179</v>
      </c>
      <c r="BS309" s="155">
        <f t="shared" ref="BS309:CD309" si="78">BS233</f>
        <v>50462</v>
      </c>
      <c r="BT309" s="155">
        <f t="shared" si="78"/>
        <v>50181</v>
      </c>
      <c r="BU309" s="155">
        <f t="shared" si="78"/>
        <v>50182</v>
      </c>
      <c r="BV309" s="155">
        <f t="shared" si="78"/>
        <v>50183</v>
      </c>
      <c r="BW309" s="155">
        <f t="shared" si="78"/>
        <v>50446</v>
      </c>
      <c r="BX309" s="155">
        <f t="shared" si="78"/>
        <v>50184</v>
      </c>
      <c r="BY309" s="155">
        <f t="shared" si="78"/>
        <v>50185</v>
      </c>
      <c r="BZ309" s="155">
        <f t="shared" si="78"/>
        <v>50186</v>
      </c>
      <c r="CA309" s="155">
        <f t="shared" si="78"/>
        <v>50187</v>
      </c>
      <c r="CB309" s="155">
        <f t="shared" si="78"/>
        <v>50188</v>
      </c>
      <c r="CC309" s="155">
        <f t="shared" si="78"/>
        <v>50189</v>
      </c>
      <c r="CD309" s="155">
        <f t="shared" si="78"/>
        <v>50190</v>
      </c>
      <c r="CE309" s="556"/>
      <c r="CF309" s="556"/>
      <c r="CG309" s="556"/>
      <c r="CH309" s="556"/>
      <c r="CI309" s="556"/>
      <c r="CJ309" s="556"/>
      <c r="CK309" s="556"/>
      <c r="CL309" s="556"/>
      <c r="CM309" s="556"/>
      <c r="CN309" s="556"/>
      <c r="CO309" s="556"/>
      <c r="CP309" s="556"/>
      <c r="CQ309" s="556"/>
      <c r="CR309" s="556"/>
      <c r="CS309" s="556"/>
      <c r="CT309" s="556"/>
      <c r="CU309" s="556"/>
      <c r="CV309" s="556"/>
      <c r="CW309" s="556"/>
      <c r="CX309" s="556"/>
      <c r="CY309" s="556"/>
      <c r="CZ309" s="556"/>
    </row>
    <row r="310" spans="1:104" x14ac:dyDescent="0.3">
      <c r="A310" s="554">
        <f>A144</f>
        <v>554</v>
      </c>
      <c r="B310" s="554" t="str">
        <f t="shared" ref="B310:BM311" si="79">B144</f>
        <v>Single Audit Only - total amount of federal awards and grants expended as found on SEFSA</v>
      </c>
      <c r="C310" s="554">
        <f t="shared" si="79"/>
        <v>0</v>
      </c>
      <c r="D310" s="554">
        <f t="shared" si="79"/>
        <v>0</v>
      </c>
      <c r="E310" s="554">
        <f t="shared" si="79"/>
        <v>981274</v>
      </c>
      <c r="F310" s="554">
        <f t="shared" si="79"/>
        <v>0</v>
      </c>
      <c r="G310" s="554">
        <f t="shared" si="79"/>
        <v>0</v>
      </c>
      <c r="H310" s="554">
        <f t="shared" si="79"/>
        <v>0</v>
      </c>
      <c r="I310" s="554">
        <f t="shared" si="79"/>
        <v>0</v>
      </c>
      <c r="J310" s="554">
        <f t="shared" si="79"/>
        <v>0</v>
      </c>
      <c r="K310" s="554">
        <f t="shared" si="79"/>
        <v>0</v>
      </c>
      <c r="L310" s="554">
        <f t="shared" si="79"/>
        <v>2054273</v>
      </c>
      <c r="M310" s="554">
        <f t="shared" si="79"/>
        <v>41395713</v>
      </c>
      <c r="N310" s="554">
        <f t="shared" si="79"/>
        <v>0</v>
      </c>
      <c r="O310" s="554">
        <f t="shared" si="79"/>
        <v>2667179</v>
      </c>
      <c r="P310" s="554">
        <f t="shared" si="79"/>
        <v>0</v>
      </c>
      <c r="Q310" s="554">
        <f t="shared" si="79"/>
        <v>2282511</v>
      </c>
      <c r="R310" s="554">
        <f t="shared" si="79"/>
        <v>0</v>
      </c>
      <c r="S310" s="554">
        <f t="shared" si="79"/>
        <v>0</v>
      </c>
      <c r="T310" s="554">
        <f t="shared" si="79"/>
        <v>907956</v>
      </c>
      <c r="U310" s="554">
        <f t="shared" si="79"/>
        <v>0</v>
      </c>
      <c r="V310" s="554">
        <f t="shared" si="79"/>
        <v>0</v>
      </c>
      <c r="W310" s="554">
        <f t="shared" si="79"/>
        <v>0</v>
      </c>
      <c r="X310" s="554">
        <f t="shared" si="79"/>
        <v>0</v>
      </c>
      <c r="Y310" s="554">
        <f t="shared" si="79"/>
        <v>0</v>
      </c>
      <c r="Z310" s="554">
        <f t="shared" si="79"/>
        <v>10110039</v>
      </c>
      <c r="AA310" s="554">
        <f t="shared" si="79"/>
        <v>0</v>
      </c>
      <c r="AB310" s="554">
        <f t="shared" si="79"/>
        <v>0</v>
      </c>
      <c r="AC310" s="554">
        <f t="shared" si="79"/>
        <v>10253278</v>
      </c>
      <c r="AD310" s="554">
        <f t="shared" si="79"/>
        <v>0</v>
      </c>
      <c r="AE310" s="554">
        <f t="shared" si="79"/>
        <v>0</v>
      </c>
      <c r="AF310" s="554">
        <f t="shared" si="79"/>
        <v>16060409</v>
      </c>
      <c r="AG310" s="554">
        <f t="shared" si="79"/>
        <v>0</v>
      </c>
      <c r="AH310" s="554">
        <f t="shared" si="79"/>
        <v>0</v>
      </c>
      <c r="AI310" s="554">
        <f t="shared" si="79"/>
        <v>1194401</v>
      </c>
      <c r="AJ310" s="554">
        <f t="shared" si="79"/>
        <v>0</v>
      </c>
      <c r="AK310" s="554">
        <f t="shared" si="79"/>
        <v>979563</v>
      </c>
      <c r="AL310" s="554">
        <f t="shared" si="79"/>
        <v>4955698</v>
      </c>
      <c r="AM310" s="554">
        <f t="shared" si="79"/>
        <v>1335864</v>
      </c>
      <c r="AN310" s="554">
        <f t="shared" si="79"/>
        <v>10464318</v>
      </c>
      <c r="AO310" s="554">
        <f t="shared" si="79"/>
        <v>0</v>
      </c>
      <c r="AP310" s="554">
        <f t="shared" si="79"/>
        <v>742406</v>
      </c>
      <c r="AQ310" s="554">
        <f t="shared" si="79"/>
        <v>0</v>
      </c>
      <c r="AR310" s="554">
        <f t="shared" si="79"/>
        <v>0</v>
      </c>
      <c r="AS310" s="554">
        <f t="shared" si="79"/>
        <v>0</v>
      </c>
      <c r="AT310" s="554">
        <f t="shared" si="79"/>
        <v>0</v>
      </c>
      <c r="AU310" s="554">
        <f t="shared" si="79"/>
        <v>98771269</v>
      </c>
      <c r="AV310" s="554">
        <f t="shared" si="79"/>
        <v>5527207</v>
      </c>
      <c r="AW310" s="554">
        <f t="shared" si="79"/>
        <v>865571</v>
      </c>
      <c r="AX310" s="554">
        <f t="shared" si="79"/>
        <v>0</v>
      </c>
      <c r="AY310" s="554">
        <f t="shared" si="79"/>
        <v>0</v>
      </c>
      <c r="AZ310" s="554">
        <f t="shared" si="79"/>
        <v>0</v>
      </c>
      <c r="BA310" s="554">
        <f t="shared" si="79"/>
        <v>0</v>
      </c>
      <c r="BB310" s="554">
        <f t="shared" si="79"/>
        <v>0</v>
      </c>
      <c r="BC310" s="554">
        <f t="shared" si="79"/>
        <v>0</v>
      </c>
      <c r="BD310" s="554">
        <f t="shared" si="79"/>
        <v>0</v>
      </c>
      <c r="BE310" s="554">
        <f t="shared" si="79"/>
        <v>0</v>
      </c>
      <c r="BF310" s="554">
        <f t="shared" si="79"/>
        <v>110878</v>
      </c>
      <c r="BG310" s="554">
        <f t="shared" si="79"/>
        <v>0</v>
      </c>
      <c r="BH310" s="554">
        <f t="shared" si="79"/>
        <v>1790867</v>
      </c>
      <c r="BI310" s="554">
        <f t="shared" si="79"/>
        <v>0</v>
      </c>
      <c r="BJ310" s="554">
        <f t="shared" si="79"/>
        <v>0</v>
      </c>
      <c r="BK310" s="554">
        <f t="shared" si="79"/>
        <v>0</v>
      </c>
      <c r="BL310" s="554">
        <f t="shared" si="79"/>
        <v>2273275</v>
      </c>
      <c r="BM310" s="554">
        <f t="shared" si="79"/>
        <v>28249461</v>
      </c>
      <c r="BN310" s="554">
        <f t="shared" ref="BN310:BR313" si="80">BN144</f>
        <v>1264630</v>
      </c>
      <c r="BO310" s="554">
        <f t="shared" si="80"/>
        <v>31061932</v>
      </c>
      <c r="BP310" s="554">
        <f t="shared" si="80"/>
        <v>17043003</v>
      </c>
      <c r="BQ310" s="554">
        <f t="shared" si="80"/>
        <v>2131602</v>
      </c>
      <c r="BR310" s="554">
        <f t="shared" si="80"/>
        <v>0</v>
      </c>
      <c r="BS310" s="554">
        <f t="shared" ref="BS310:CD310" si="81">BS144</f>
        <v>0</v>
      </c>
      <c r="BT310" s="554">
        <f t="shared" si="81"/>
        <v>0</v>
      </c>
      <c r="BU310" s="554">
        <f t="shared" si="81"/>
        <v>0</v>
      </c>
      <c r="BV310" s="554">
        <f t="shared" si="81"/>
        <v>0</v>
      </c>
      <c r="BW310" s="554">
        <f t="shared" si="81"/>
        <v>211616</v>
      </c>
      <c r="BX310" s="554">
        <f t="shared" si="81"/>
        <v>0</v>
      </c>
      <c r="BY310" s="554">
        <f t="shared" si="81"/>
        <v>6194780</v>
      </c>
      <c r="BZ310" s="554">
        <f t="shared" si="81"/>
        <v>1252127</v>
      </c>
      <c r="CA310" s="554">
        <f t="shared" si="81"/>
        <v>0</v>
      </c>
      <c r="CB310" s="554">
        <f t="shared" si="81"/>
        <v>0</v>
      </c>
      <c r="CC310" s="554">
        <f t="shared" si="81"/>
        <v>0</v>
      </c>
      <c r="CD310" s="554">
        <f t="shared" si="81"/>
        <v>9439537</v>
      </c>
      <c r="CE310" s="556"/>
      <c r="CF310" s="556"/>
      <c r="CG310" s="556"/>
      <c r="CH310" s="556"/>
      <c r="CI310" s="556"/>
      <c r="CJ310" s="556"/>
      <c r="CK310" s="556"/>
      <c r="CL310" s="556"/>
      <c r="CM310" s="556"/>
      <c r="CN310" s="556"/>
      <c r="CO310" s="556"/>
      <c r="CP310" s="556"/>
      <c r="CQ310" s="556"/>
      <c r="CR310" s="556"/>
      <c r="CS310" s="556"/>
      <c r="CT310" s="556"/>
      <c r="CU310" s="556"/>
      <c r="CV310" s="556"/>
      <c r="CW310" s="556"/>
      <c r="CX310" s="556"/>
      <c r="CY310" s="556"/>
      <c r="CZ310" s="556"/>
    </row>
    <row r="311" spans="1:104" x14ac:dyDescent="0.3">
      <c r="A311" s="554">
        <f t="shared" ref="A311:P313" si="82">A145</f>
        <v>555</v>
      </c>
      <c r="B311" s="554" t="str">
        <f t="shared" si="82"/>
        <v>Single Audit Only - Total amount of federal awards and grants that were audited as major as found on SEFSA</v>
      </c>
      <c r="C311" s="554">
        <f t="shared" si="82"/>
        <v>0</v>
      </c>
      <c r="D311" s="554">
        <f t="shared" si="82"/>
        <v>0</v>
      </c>
      <c r="E311" s="554">
        <f t="shared" si="82"/>
        <v>760244</v>
      </c>
      <c r="F311" s="554">
        <f t="shared" si="82"/>
        <v>0</v>
      </c>
      <c r="G311" s="554">
        <f t="shared" si="82"/>
        <v>0</v>
      </c>
      <c r="H311" s="554">
        <f t="shared" si="82"/>
        <v>0</v>
      </c>
      <c r="I311" s="554">
        <f t="shared" si="82"/>
        <v>0</v>
      </c>
      <c r="J311" s="554">
        <f t="shared" si="82"/>
        <v>0</v>
      </c>
      <c r="K311" s="554">
        <f t="shared" si="82"/>
        <v>0</v>
      </c>
      <c r="L311" s="554">
        <f t="shared" si="82"/>
        <v>1518275</v>
      </c>
      <c r="M311" s="554">
        <f t="shared" si="82"/>
        <v>25409472</v>
      </c>
      <c r="N311" s="554">
        <f t="shared" si="82"/>
        <v>0</v>
      </c>
      <c r="O311" s="554">
        <f t="shared" si="82"/>
        <v>2667179</v>
      </c>
      <c r="P311" s="554">
        <f t="shared" si="82"/>
        <v>0</v>
      </c>
      <c r="Q311" s="554">
        <f t="shared" si="79"/>
        <v>2282511</v>
      </c>
      <c r="R311" s="554">
        <f t="shared" si="79"/>
        <v>0</v>
      </c>
      <c r="S311" s="554">
        <f t="shared" si="79"/>
        <v>0</v>
      </c>
      <c r="T311" s="554">
        <f t="shared" si="79"/>
        <v>532558</v>
      </c>
      <c r="U311" s="554">
        <f t="shared" si="79"/>
        <v>0</v>
      </c>
      <c r="V311" s="554">
        <f t="shared" si="79"/>
        <v>0</v>
      </c>
      <c r="W311" s="554">
        <f t="shared" si="79"/>
        <v>0</v>
      </c>
      <c r="X311" s="554">
        <f t="shared" si="79"/>
        <v>0</v>
      </c>
      <c r="Y311" s="554">
        <f t="shared" si="79"/>
        <v>0</v>
      </c>
      <c r="Z311" s="554">
        <f t="shared" si="79"/>
        <v>9606334</v>
      </c>
      <c r="AA311" s="554">
        <f t="shared" si="79"/>
        <v>0</v>
      </c>
      <c r="AB311" s="554">
        <f t="shared" si="79"/>
        <v>0</v>
      </c>
      <c r="AC311" s="554">
        <f t="shared" si="79"/>
        <v>10000000</v>
      </c>
      <c r="AD311" s="554">
        <f t="shared" si="79"/>
        <v>0</v>
      </c>
      <c r="AE311" s="554">
        <f t="shared" si="79"/>
        <v>0</v>
      </c>
      <c r="AF311" s="554">
        <f t="shared" si="79"/>
        <v>12277012</v>
      </c>
      <c r="AG311" s="554">
        <f t="shared" si="79"/>
        <v>0</v>
      </c>
      <c r="AH311" s="554">
        <f t="shared" si="79"/>
        <v>0</v>
      </c>
      <c r="AI311" s="554">
        <f t="shared" si="79"/>
        <v>1169460</v>
      </c>
      <c r="AJ311" s="554">
        <f t="shared" si="79"/>
        <v>0</v>
      </c>
      <c r="AK311" s="554">
        <f t="shared" si="79"/>
        <v>979563</v>
      </c>
      <c r="AL311" s="554">
        <f t="shared" si="79"/>
        <v>4506701</v>
      </c>
      <c r="AM311" s="554">
        <f t="shared" si="79"/>
        <v>1335864</v>
      </c>
      <c r="AN311" s="554">
        <f t="shared" si="79"/>
        <v>10043601</v>
      </c>
      <c r="AO311" s="554">
        <f t="shared" si="79"/>
        <v>0</v>
      </c>
      <c r="AP311" s="554">
        <f t="shared" si="79"/>
        <v>0</v>
      </c>
      <c r="AQ311" s="554">
        <f t="shared" si="79"/>
        <v>0</v>
      </c>
      <c r="AR311" s="554">
        <f t="shared" si="79"/>
        <v>0</v>
      </c>
      <c r="AS311" s="554">
        <f t="shared" si="79"/>
        <v>0</v>
      </c>
      <c r="AT311" s="554">
        <f t="shared" si="79"/>
        <v>0</v>
      </c>
      <c r="AU311" s="554">
        <f t="shared" si="79"/>
        <v>68848414</v>
      </c>
      <c r="AV311" s="554">
        <f t="shared" si="79"/>
        <v>3229110</v>
      </c>
      <c r="AW311" s="554">
        <f t="shared" si="79"/>
        <v>673502</v>
      </c>
      <c r="AX311" s="554">
        <f t="shared" si="79"/>
        <v>0</v>
      </c>
      <c r="AY311" s="554">
        <f t="shared" si="79"/>
        <v>0</v>
      </c>
      <c r="AZ311" s="554">
        <f t="shared" si="79"/>
        <v>0</v>
      </c>
      <c r="BA311" s="554">
        <f t="shared" si="79"/>
        <v>0</v>
      </c>
      <c r="BB311" s="554">
        <f t="shared" si="79"/>
        <v>0</v>
      </c>
      <c r="BC311" s="554">
        <f t="shared" si="79"/>
        <v>0</v>
      </c>
      <c r="BD311" s="554">
        <f t="shared" si="79"/>
        <v>0</v>
      </c>
      <c r="BE311" s="554">
        <f t="shared" si="79"/>
        <v>0</v>
      </c>
      <c r="BF311" s="554">
        <f t="shared" si="79"/>
        <v>0</v>
      </c>
      <c r="BG311" s="554">
        <f t="shared" si="79"/>
        <v>0</v>
      </c>
      <c r="BH311" s="554">
        <f t="shared" si="79"/>
        <v>852821</v>
      </c>
      <c r="BI311" s="554">
        <f t="shared" si="79"/>
        <v>0</v>
      </c>
      <c r="BJ311" s="554">
        <f t="shared" si="79"/>
        <v>0</v>
      </c>
      <c r="BK311" s="554">
        <f t="shared" si="79"/>
        <v>0</v>
      </c>
      <c r="BL311" s="554">
        <f t="shared" si="79"/>
        <v>2103448</v>
      </c>
      <c r="BM311" s="554">
        <f t="shared" si="79"/>
        <v>16504746</v>
      </c>
      <c r="BN311" s="554">
        <f t="shared" si="80"/>
        <v>1264630</v>
      </c>
      <c r="BO311" s="554">
        <f t="shared" si="80"/>
        <v>22863812</v>
      </c>
      <c r="BP311" s="554">
        <f t="shared" si="80"/>
        <v>15273991</v>
      </c>
      <c r="BQ311" s="554">
        <f t="shared" si="80"/>
        <v>2071602</v>
      </c>
      <c r="BR311" s="554">
        <f t="shared" si="80"/>
        <v>0</v>
      </c>
      <c r="BS311" s="554">
        <f t="shared" ref="BS311:CD311" si="83">BS145</f>
        <v>0</v>
      </c>
      <c r="BT311" s="554">
        <f t="shared" si="83"/>
        <v>0</v>
      </c>
      <c r="BU311" s="554">
        <f t="shared" si="83"/>
        <v>0</v>
      </c>
      <c r="BV311" s="554">
        <f t="shared" si="83"/>
        <v>0</v>
      </c>
      <c r="BW311" s="554">
        <f t="shared" si="83"/>
        <v>0</v>
      </c>
      <c r="BX311" s="554">
        <f t="shared" si="83"/>
        <v>0</v>
      </c>
      <c r="BY311" s="554">
        <f t="shared" si="83"/>
        <v>5848617</v>
      </c>
      <c r="BZ311" s="554">
        <f t="shared" si="83"/>
        <v>1190300</v>
      </c>
      <c r="CA311" s="554">
        <f t="shared" si="83"/>
        <v>0</v>
      </c>
      <c r="CB311" s="554">
        <f t="shared" si="83"/>
        <v>0</v>
      </c>
      <c r="CC311" s="554">
        <f t="shared" si="83"/>
        <v>0</v>
      </c>
      <c r="CD311" s="554">
        <f t="shared" si="83"/>
        <v>5143158</v>
      </c>
      <c r="CE311" s="556"/>
      <c r="CF311" s="556"/>
      <c r="CG311" s="556"/>
      <c r="CH311" s="556"/>
      <c r="CI311" s="556"/>
      <c r="CJ311" s="556"/>
      <c r="CK311" s="556"/>
      <c r="CL311" s="556"/>
      <c r="CM311" s="556"/>
      <c r="CN311" s="556"/>
      <c r="CO311" s="556"/>
      <c r="CP311" s="556"/>
      <c r="CQ311" s="556"/>
      <c r="CR311" s="556"/>
      <c r="CS311" s="556"/>
      <c r="CT311" s="556"/>
      <c r="CU311" s="556"/>
      <c r="CV311" s="556"/>
      <c r="CW311" s="556"/>
      <c r="CX311" s="556"/>
      <c r="CY311" s="556"/>
      <c r="CZ311" s="556"/>
    </row>
    <row r="312" spans="1:104" x14ac:dyDescent="0.3">
      <c r="A312" s="554">
        <f t="shared" si="82"/>
        <v>556</v>
      </c>
      <c r="B312" s="554" t="str">
        <f t="shared" ref="B312:BM313" si="84">B146</f>
        <v>Single Audit Only - total amount of state awards and grants expended as found on SEFSA</v>
      </c>
      <c r="C312" s="554">
        <f t="shared" si="84"/>
        <v>0</v>
      </c>
      <c r="D312" s="554">
        <f t="shared" si="84"/>
        <v>0</v>
      </c>
      <c r="E312" s="554">
        <f t="shared" si="84"/>
        <v>64798</v>
      </c>
      <c r="F312" s="554">
        <f t="shared" si="84"/>
        <v>0</v>
      </c>
      <c r="G312" s="554">
        <f t="shared" si="84"/>
        <v>0</v>
      </c>
      <c r="H312" s="554">
        <f t="shared" si="84"/>
        <v>0</v>
      </c>
      <c r="I312" s="554">
        <f t="shared" si="84"/>
        <v>0</v>
      </c>
      <c r="J312" s="554">
        <f t="shared" si="84"/>
        <v>0</v>
      </c>
      <c r="K312" s="554">
        <f t="shared" si="84"/>
        <v>0</v>
      </c>
      <c r="L312" s="554">
        <f t="shared" si="84"/>
        <v>217417</v>
      </c>
      <c r="M312" s="554">
        <f t="shared" si="84"/>
        <v>16332689</v>
      </c>
      <c r="N312" s="554">
        <f t="shared" si="84"/>
        <v>0</v>
      </c>
      <c r="O312" s="554">
        <f t="shared" si="84"/>
        <v>145500</v>
      </c>
      <c r="P312" s="554">
        <f t="shared" si="84"/>
        <v>0</v>
      </c>
      <c r="Q312" s="554">
        <f t="shared" si="84"/>
        <v>206266</v>
      </c>
      <c r="R312" s="554">
        <f t="shared" si="84"/>
        <v>0</v>
      </c>
      <c r="S312" s="554">
        <f t="shared" si="84"/>
        <v>0</v>
      </c>
      <c r="T312" s="554">
        <f t="shared" si="84"/>
        <v>184422</v>
      </c>
      <c r="U312" s="554">
        <f t="shared" si="84"/>
        <v>0</v>
      </c>
      <c r="V312" s="554">
        <f t="shared" si="84"/>
        <v>0</v>
      </c>
      <c r="W312" s="554">
        <f t="shared" si="84"/>
        <v>0</v>
      </c>
      <c r="X312" s="554">
        <f t="shared" si="84"/>
        <v>0</v>
      </c>
      <c r="Y312" s="554">
        <f t="shared" si="84"/>
        <v>0</v>
      </c>
      <c r="Z312" s="554">
        <f t="shared" si="84"/>
        <v>1878402</v>
      </c>
      <c r="AA312" s="554">
        <f t="shared" si="84"/>
        <v>0</v>
      </c>
      <c r="AB312" s="554">
        <f t="shared" si="84"/>
        <v>0</v>
      </c>
      <c r="AC312" s="554">
        <f t="shared" si="84"/>
        <v>276477</v>
      </c>
      <c r="AD312" s="554">
        <f t="shared" si="84"/>
        <v>0</v>
      </c>
      <c r="AE312" s="554">
        <f t="shared" si="84"/>
        <v>0</v>
      </c>
      <c r="AF312" s="554">
        <f t="shared" si="84"/>
        <v>3265673</v>
      </c>
      <c r="AG312" s="554">
        <f t="shared" si="84"/>
        <v>0</v>
      </c>
      <c r="AH312" s="554">
        <f t="shared" si="84"/>
        <v>0</v>
      </c>
      <c r="AI312" s="554">
        <f t="shared" si="84"/>
        <v>441114</v>
      </c>
      <c r="AJ312" s="554">
        <f t="shared" si="84"/>
        <v>0</v>
      </c>
      <c r="AK312" s="554">
        <f t="shared" si="84"/>
        <v>0</v>
      </c>
      <c r="AL312" s="554">
        <f t="shared" si="84"/>
        <v>1463244</v>
      </c>
      <c r="AM312" s="554">
        <f t="shared" si="84"/>
        <v>20211</v>
      </c>
      <c r="AN312" s="554">
        <f t="shared" si="84"/>
        <v>837524</v>
      </c>
      <c r="AO312" s="554">
        <f t="shared" si="84"/>
        <v>0</v>
      </c>
      <c r="AP312" s="554">
        <f t="shared" si="84"/>
        <v>811962</v>
      </c>
      <c r="AQ312" s="554">
        <f t="shared" si="84"/>
        <v>0</v>
      </c>
      <c r="AR312" s="554">
        <f t="shared" si="84"/>
        <v>0</v>
      </c>
      <c r="AS312" s="554">
        <f t="shared" si="84"/>
        <v>0</v>
      </c>
      <c r="AT312" s="554">
        <f t="shared" si="84"/>
        <v>0</v>
      </c>
      <c r="AU312" s="554">
        <f t="shared" si="84"/>
        <v>10927501</v>
      </c>
      <c r="AV312" s="554">
        <f t="shared" si="84"/>
        <v>1957691</v>
      </c>
      <c r="AW312" s="554">
        <f t="shared" si="84"/>
        <v>14051</v>
      </c>
      <c r="AX312" s="554">
        <f t="shared" si="84"/>
        <v>0</v>
      </c>
      <c r="AY312" s="554">
        <f t="shared" si="84"/>
        <v>0</v>
      </c>
      <c r="AZ312" s="554">
        <f t="shared" si="84"/>
        <v>0</v>
      </c>
      <c r="BA312" s="554">
        <f t="shared" si="84"/>
        <v>0</v>
      </c>
      <c r="BB312" s="554">
        <f t="shared" si="84"/>
        <v>0</v>
      </c>
      <c r="BC312" s="554">
        <f t="shared" si="84"/>
        <v>0</v>
      </c>
      <c r="BD312" s="554">
        <f t="shared" si="84"/>
        <v>0</v>
      </c>
      <c r="BE312" s="554">
        <f t="shared" si="84"/>
        <v>0</v>
      </c>
      <c r="BF312" s="554">
        <f t="shared" si="84"/>
        <v>555000</v>
      </c>
      <c r="BG312" s="554">
        <f t="shared" si="84"/>
        <v>0</v>
      </c>
      <c r="BH312" s="554">
        <f t="shared" si="84"/>
        <v>1896149</v>
      </c>
      <c r="BI312" s="554">
        <f t="shared" si="84"/>
        <v>0</v>
      </c>
      <c r="BJ312" s="554">
        <f t="shared" si="84"/>
        <v>0</v>
      </c>
      <c r="BK312" s="554">
        <f t="shared" si="84"/>
        <v>0</v>
      </c>
      <c r="BL312" s="554">
        <f t="shared" si="84"/>
        <v>542428</v>
      </c>
      <c r="BM312" s="554">
        <f t="shared" si="84"/>
        <v>609846</v>
      </c>
      <c r="BN312" s="554">
        <f t="shared" si="80"/>
        <v>176230</v>
      </c>
      <c r="BO312" s="554">
        <f t="shared" si="80"/>
        <v>3610795</v>
      </c>
      <c r="BP312" s="554">
        <f t="shared" si="80"/>
        <v>6426436</v>
      </c>
      <c r="BQ312" s="554">
        <f t="shared" si="80"/>
        <v>18020</v>
      </c>
      <c r="BR312" s="554">
        <f t="shared" si="80"/>
        <v>0</v>
      </c>
      <c r="BS312" s="554">
        <f t="shared" ref="BS312:CD312" si="85">BS146</f>
        <v>0</v>
      </c>
      <c r="BT312" s="554">
        <f t="shared" si="85"/>
        <v>0</v>
      </c>
      <c r="BU312" s="554">
        <f t="shared" si="85"/>
        <v>0</v>
      </c>
      <c r="BV312" s="554">
        <f t="shared" si="85"/>
        <v>0</v>
      </c>
      <c r="BW312" s="554">
        <f t="shared" si="85"/>
        <v>1486262</v>
      </c>
      <c r="BX312" s="554">
        <f t="shared" si="85"/>
        <v>1750733</v>
      </c>
      <c r="BY312" s="554">
        <f t="shared" si="85"/>
        <v>493274</v>
      </c>
      <c r="BZ312" s="554">
        <f t="shared" si="85"/>
        <v>123422</v>
      </c>
      <c r="CA312" s="554">
        <f t="shared" si="85"/>
        <v>0</v>
      </c>
      <c r="CB312" s="554">
        <f t="shared" si="85"/>
        <v>0</v>
      </c>
      <c r="CC312" s="554">
        <f t="shared" si="85"/>
        <v>0</v>
      </c>
      <c r="CD312" s="554">
        <f t="shared" si="85"/>
        <v>2721783</v>
      </c>
      <c r="CE312" s="556"/>
      <c r="CF312" s="556"/>
      <c r="CG312" s="556"/>
      <c r="CH312" s="556"/>
      <c r="CI312" s="556"/>
      <c r="CJ312" s="556"/>
      <c r="CK312" s="556"/>
      <c r="CL312" s="556"/>
      <c r="CM312" s="556"/>
      <c r="CN312" s="556"/>
      <c r="CO312" s="556"/>
      <c r="CP312" s="556"/>
      <c r="CQ312" s="556"/>
      <c r="CR312" s="556"/>
      <c r="CS312" s="556"/>
      <c r="CT312" s="556"/>
      <c r="CU312" s="556"/>
      <c r="CV312" s="556"/>
      <c r="CW312" s="556"/>
      <c r="CX312" s="556"/>
      <c r="CY312" s="556"/>
      <c r="CZ312" s="556"/>
    </row>
    <row r="313" spans="1:104" x14ac:dyDescent="0.3">
      <c r="A313" s="554">
        <f t="shared" si="82"/>
        <v>557</v>
      </c>
      <c r="B313" s="554" t="str">
        <f t="shared" si="84"/>
        <v>Single Audit Only - Total amount of state awards and grants that were audited as major as found on SEFSA</v>
      </c>
      <c r="C313" s="554">
        <f t="shared" si="84"/>
        <v>0</v>
      </c>
      <c r="D313" s="554">
        <f t="shared" si="84"/>
        <v>0</v>
      </c>
      <c r="E313" s="554">
        <f t="shared" si="84"/>
        <v>0</v>
      </c>
      <c r="F313" s="554">
        <f t="shared" si="84"/>
        <v>0</v>
      </c>
      <c r="G313" s="554">
        <f t="shared" si="84"/>
        <v>0</v>
      </c>
      <c r="H313" s="554">
        <f t="shared" si="84"/>
        <v>0</v>
      </c>
      <c r="I313" s="554">
        <f t="shared" si="84"/>
        <v>0</v>
      </c>
      <c r="J313" s="554">
        <f t="shared" si="84"/>
        <v>0</v>
      </c>
      <c r="K313" s="554">
        <f t="shared" si="84"/>
        <v>0</v>
      </c>
      <c r="L313" s="554">
        <f t="shared" si="84"/>
        <v>0</v>
      </c>
      <c r="M313" s="554">
        <f t="shared" si="84"/>
        <v>7577621</v>
      </c>
      <c r="N313" s="554">
        <f t="shared" si="84"/>
        <v>0</v>
      </c>
      <c r="O313" s="554">
        <f t="shared" si="84"/>
        <v>0</v>
      </c>
      <c r="P313" s="554">
        <f t="shared" si="84"/>
        <v>0</v>
      </c>
      <c r="Q313" s="554">
        <f t="shared" si="84"/>
        <v>0</v>
      </c>
      <c r="R313" s="554">
        <f t="shared" si="84"/>
        <v>0</v>
      </c>
      <c r="S313" s="554">
        <f t="shared" si="84"/>
        <v>0</v>
      </c>
      <c r="T313" s="554">
        <f t="shared" si="84"/>
        <v>0</v>
      </c>
      <c r="U313" s="554">
        <f t="shared" si="84"/>
        <v>0</v>
      </c>
      <c r="V313" s="554">
        <f t="shared" si="84"/>
        <v>0</v>
      </c>
      <c r="W313" s="554">
        <f t="shared" si="84"/>
        <v>0</v>
      </c>
      <c r="X313" s="554">
        <f t="shared" si="84"/>
        <v>0</v>
      </c>
      <c r="Y313" s="554">
        <f t="shared" si="84"/>
        <v>0</v>
      </c>
      <c r="Z313" s="554">
        <f t="shared" si="84"/>
        <v>1878402</v>
      </c>
      <c r="AA313" s="554">
        <f t="shared" si="84"/>
        <v>0</v>
      </c>
      <c r="AB313" s="554">
        <f t="shared" si="84"/>
        <v>0</v>
      </c>
      <c r="AC313" s="554">
        <f t="shared" si="84"/>
        <v>0</v>
      </c>
      <c r="AD313" s="554">
        <f t="shared" si="84"/>
        <v>0</v>
      </c>
      <c r="AE313" s="554">
        <f t="shared" si="84"/>
        <v>0</v>
      </c>
      <c r="AF313" s="554">
        <f t="shared" si="84"/>
        <v>1361840</v>
      </c>
      <c r="AG313" s="554">
        <f t="shared" si="84"/>
        <v>0</v>
      </c>
      <c r="AH313" s="554">
        <f t="shared" si="84"/>
        <v>0</v>
      </c>
      <c r="AI313" s="554">
        <f t="shared" si="84"/>
        <v>0</v>
      </c>
      <c r="AJ313" s="554">
        <f t="shared" si="84"/>
        <v>0</v>
      </c>
      <c r="AK313" s="554">
        <f t="shared" si="84"/>
        <v>0</v>
      </c>
      <c r="AL313" s="554">
        <f t="shared" si="84"/>
        <v>1009100</v>
      </c>
      <c r="AM313" s="554">
        <f t="shared" si="84"/>
        <v>0</v>
      </c>
      <c r="AN313" s="554">
        <f t="shared" si="84"/>
        <v>487524</v>
      </c>
      <c r="AO313" s="554">
        <f t="shared" si="84"/>
        <v>0</v>
      </c>
      <c r="AP313" s="554">
        <f t="shared" si="84"/>
        <v>383150</v>
      </c>
      <c r="AQ313" s="554">
        <f t="shared" si="84"/>
        <v>0</v>
      </c>
      <c r="AR313" s="554">
        <f t="shared" si="84"/>
        <v>0</v>
      </c>
      <c r="AS313" s="554">
        <f t="shared" si="84"/>
        <v>0</v>
      </c>
      <c r="AT313" s="554">
        <f t="shared" si="84"/>
        <v>0</v>
      </c>
      <c r="AU313" s="554">
        <f t="shared" si="84"/>
        <v>9400685</v>
      </c>
      <c r="AV313" s="554">
        <f t="shared" si="84"/>
        <v>1344994</v>
      </c>
      <c r="AW313" s="554">
        <f t="shared" si="84"/>
        <v>0</v>
      </c>
      <c r="AX313" s="554">
        <f t="shared" si="84"/>
        <v>0</v>
      </c>
      <c r="AY313" s="554">
        <f t="shared" si="84"/>
        <v>0</v>
      </c>
      <c r="AZ313" s="554">
        <f t="shared" si="84"/>
        <v>0</v>
      </c>
      <c r="BA313" s="554">
        <f t="shared" si="84"/>
        <v>0</v>
      </c>
      <c r="BB313" s="554">
        <f t="shared" si="84"/>
        <v>0</v>
      </c>
      <c r="BC313" s="554">
        <f t="shared" si="84"/>
        <v>0</v>
      </c>
      <c r="BD313" s="554">
        <f t="shared" si="84"/>
        <v>0</v>
      </c>
      <c r="BE313" s="554">
        <f t="shared" si="84"/>
        <v>0</v>
      </c>
      <c r="BF313" s="554">
        <f t="shared" si="84"/>
        <v>555000</v>
      </c>
      <c r="BG313" s="554">
        <f t="shared" si="84"/>
        <v>0</v>
      </c>
      <c r="BH313" s="554">
        <f t="shared" si="84"/>
        <v>935178</v>
      </c>
      <c r="BI313" s="554">
        <f t="shared" si="84"/>
        <v>0</v>
      </c>
      <c r="BJ313" s="554">
        <f t="shared" si="84"/>
        <v>0</v>
      </c>
      <c r="BK313" s="554">
        <f t="shared" si="84"/>
        <v>0</v>
      </c>
      <c r="BL313" s="554">
        <f t="shared" si="84"/>
        <v>447091</v>
      </c>
      <c r="BM313" s="554">
        <f t="shared" si="84"/>
        <v>459284</v>
      </c>
      <c r="BN313" s="554">
        <f t="shared" si="80"/>
        <v>0</v>
      </c>
      <c r="BO313" s="554">
        <f t="shared" si="80"/>
        <v>1891070</v>
      </c>
      <c r="BP313" s="554">
        <f t="shared" si="80"/>
        <v>2200000</v>
      </c>
      <c r="BQ313" s="554">
        <f t="shared" si="80"/>
        <v>0</v>
      </c>
      <c r="BR313" s="554">
        <f t="shared" si="80"/>
        <v>0</v>
      </c>
      <c r="BS313" s="554">
        <f t="shared" ref="BS313:CD313" si="86">BS147</f>
        <v>0</v>
      </c>
      <c r="BT313" s="554">
        <f t="shared" si="86"/>
        <v>0</v>
      </c>
      <c r="BU313" s="554">
        <f t="shared" si="86"/>
        <v>0</v>
      </c>
      <c r="BV313" s="554">
        <f t="shared" si="86"/>
        <v>0</v>
      </c>
      <c r="BW313" s="554">
        <f t="shared" si="86"/>
        <v>1137500</v>
      </c>
      <c r="BX313" s="554">
        <f t="shared" si="86"/>
        <v>1392866</v>
      </c>
      <c r="BY313" s="554">
        <f t="shared" si="86"/>
        <v>0</v>
      </c>
      <c r="BZ313" s="554">
        <f t="shared" si="86"/>
        <v>0</v>
      </c>
      <c r="CA313" s="554">
        <f t="shared" si="86"/>
        <v>0</v>
      </c>
      <c r="CB313" s="554">
        <f t="shared" si="86"/>
        <v>0</v>
      </c>
      <c r="CC313" s="554">
        <f t="shared" si="86"/>
        <v>0</v>
      </c>
      <c r="CD313" s="554">
        <f t="shared" si="86"/>
        <v>2664014</v>
      </c>
      <c r="CE313" s="560"/>
      <c r="CF313" s="560"/>
      <c r="CG313" s="560"/>
      <c r="CH313" s="560"/>
      <c r="CI313" s="560"/>
      <c r="CJ313" s="560"/>
      <c r="CK313" s="560"/>
      <c r="CL313" s="560"/>
      <c r="CM313" s="560"/>
      <c r="CN313" s="560"/>
      <c r="CO313" s="560"/>
      <c r="CP313" s="560"/>
      <c r="CQ313" s="560"/>
      <c r="CR313" s="560"/>
      <c r="CS313" s="560"/>
      <c r="CT313" s="560"/>
      <c r="CU313" s="560"/>
      <c r="CV313" s="560"/>
      <c r="CW313" s="560"/>
      <c r="CX313" s="560"/>
      <c r="CY313" s="560"/>
      <c r="CZ313" s="560"/>
    </row>
    <row r="314" spans="1:104" x14ac:dyDescent="0.3">
      <c r="A314" s="554">
        <f>A164</f>
        <v>606</v>
      </c>
      <c r="B314" s="554" t="str">
        <f t="shared" ref="B314:BM314" si="87">B164</f>
        <v>Compliance opinion - enter "1" for clean Opinion or "2" for other than clean opinion</v>
      </c>
      <c r="C314" s="554">
        <f t="shared" si="87"/>
        <v>0</v>
      </c>
      <c r="D314" s="554">
        <f t="shared" si="87"/>
        <v>0</v>
      </c>
      <c r="E314" s="554">
        <f t="shared" si="87"/>
        <v>1</v>
      </c>
      <c r="F314" s="554">
        <f t="shared" si="87"/>
        <v>0</v>
      </c>
      <c r="G314" s="554">
        <f t="shared" si="87"/>
        <v>0</v>
      </c>
      <c r="H314" s="554">
        <f t="shared" si="87"/>
        <v>0</v>
      </c>
      <c r="I314" s="554">
        <f t="shared" si="87"/>
        <v>0</v>
      </c>
      <c r="J314" s="554">
        <f t="shared" si="87"/>
        <v>0</v>
      </c>
      <c r="K314" s="554">
        <f t="shared" si="87"/>
        <v>0</v>
      </c>
      <c r="L314" s="554">
        <f t="shared" si="87"/>
        <v>1</v>
      </c>
      <c r="M314" s="554">
        <f t="shared" si="87"/>
        <v>1</v>
      </c>
      <c r="N314" s="554">
        <f t="shared" si="87"/>
        <v>0</v>
      </c>
      <c r="O314" s="554">
        <f t="shared" si="87"/>
        <v>1</v>
      </c>
      <c r="P314" s="554">
        <f t="shared" si="87"/>
        <v>0</v>
      </c>
      <c r="Q314" s="554">
        <f t="shared" si="87"/>
        <v>1</v>
      </c>
      <c r="R314" s="554">
        <f t="shared" si="87"/>
        <v>0</v>
      </c>
      <c r="S314" s="554">
        <f t="shared" si="87"/>
        <v>0</v>
      </c>
      <c r="T314" s="554">
        <f t="shared" si="87"/>
        <v>1</v>
      </c>
      <c r="U314" s="554">
        <f t="shared" si="87"/>
        <v>0</v>
      </c>
      <c r="V314" s="554">
        <f t="shared" si="87"/>
        <v>0</v>
      </c>
      <c r="W314" s="554">
        <f t="shared" si="87"/>
        <v>0</v>
      </c>
      <c r="X314" s="554">
        <f t="shared" si="87"/>
        <v>0</v>
      </c>
      <c r="Y314" s="554">
        <f t="shared" si="87"/>
        <v>0</v>
      </c>
      <c r="Z314" s="554">
        <f t="shared" si="87"/>
        <v>1</v>
      </c>
      <c r="AA314" s="554">
        <f t="shared" si="87"/>
        <v>0</v>
      </c>
      <c r="AB314" s="554">
        <f t="shared" si="87"/>
        <v>0</v>
      </c>
      <c r="AC314" s="554">
        <f t="shared" si="87"/>
        <v>1</v>
      </c>
      <c r="AD314" s="554">
        <f t="shared" si="87"/>
        <v>0</v>
      </c>
      <c r="AE314" s="554">
        <f t="shared" si="87"/>
        <v>0</v>
      </c>
      <c r="AF314" s="554">
        <f t="shared" si="87"/>
        <v>1</v>
      </c>
      <c r="AG314" s="554">
        <f t="shared" si="87"/>
        <v>0</v>
      </c>
      <c r="AH314" s="554">
        <f t="shared" si="87"/>
        <v>0</v>
      </c>
      <c r="AI314" s="554">
        <f t="shared" si="87"/>
        <v>1</v>
      </c>
      <c r="AJ314" s="554">
        <f t="shared" si="87"/>
        <v>0</v>
      </c>
      <c r="AK314" s="554">
        <f t="shared" si="87"/>
        <v>1</v>
      </c>
      <c r="AL314" s="554">
        <f t="shared" si="87"/>
        <v>1</v>
      </c>
      <c r="AM314" s="554">
        <f t="shared" si="87"/>
        <v>1</v>
      </c>
      <c r="AN314" s="554">
        <f t="shared" si="87"/>
        <v>1</v>
      </c>
      <c r="AO314" s="554">
        <f t="shared" si="87"/>
        <v>0</v>
      </c>
      <c r="AP314" s="554">
        <f t="shared" si="87"/>
        <v>1</v>
      </c>
      <c r="AQ314" s="554">
        <f t="shared" si="87"/>
        <v>0</v>
      </c>
      <c r="AR314" s="554">
        <f t="shared" si="87"/>
        <v>0</v>
      </c>
      <c r="AS314" s="554">
        <f t="shared" si="87"/>
        <v>0</v>
      </c>
      <c r="AT314" s="554">
        <f t="shared" si="87"/>
        <v>0</v>
      </c>
      <c r="AU314" s="554">
        <f t="shared" si="87"/>
        <v>1</v>
      </c>
      <c r="AV314" s="554">
        <f t="shared" si="87"/>
        <v>1</v>
      </c>
      <c r="AW314" s="554">
        <f t="shared" si="87"/>
        <v>1</v>
      </c>
      <c r="AX314" s="554">
        <f t="shared" si="87"/>
        <v>0</v>
      </c>
      <c r="AY314" s="554">
        <f t="shared" si="87"/>
        <v>0</v>
      </c>
      <c r="AZ314" s="554">
        <f t="shared" si="87"/>
        <v>0</v>
      </c>
      <c r="BA314" s="554">
        <f t="shared" si="87"/>
        <v>0</v>
      </c>
      <c r="BB314" s="554">
        <f t="shared" si="87"/>
        <v>0</v>
      </c>
      <c r="BC314" s="554">
        <f t="shared" si="87"/>
        <v>0</v>
      </c>
      <c r="BD314" s="554">
        <f t="shared" si="87"/>
        <v>0</v>
      </c>
      <c r="BE314" s="554">
        <f t="shared" si="87"/>
        <v>0</v>
      </c>
      <c r="BF314" s="554">
        <f t="shared" si="87"/>
        <v>1</v>
      </c>
      <c r="BG314" s="554">
        <f t="shared" si="87"/>
        <v>0</v>
      </c>
      <c r="BH314" s="554">
        <f t="shared" si="87"/>
        <v>1</v>
      </c>
      <c r="BI314" s="554">
        <f t="shared" si="87"/>
        <v>0</v>
      </c>
      <c r="BJ314" s="554">
        <f t="shared" si="87"/>
        <v>0</v>
      </c>
      <c r="BK314" s="554">
        <f t="shared" si="87"/>
        <v>0</v>
      </c>
      <c r="BL314" s="554">
        <f t="shared" si="87"/>
        <v>1</v>
      </c>
      <c r="BM314" s="554">
        <f t="shared" si="87"/>
        <v>1</v>
      </c>
      <c r="BN314" s="554">
        <f t="shared" ref="BN314:BR314" si="88">BN164</f>
        <v>1</v>
      </c>
      <c r="BO314" s="554">
        <f t="shared" si="88"/>
        <v>1</v>
      </c>
      <c r="BP314" s="554">
        <f t="shared" si="88"/>
        <v>1</v>
      </c>
      <c r="BQ314" s="554">
        <f t="shared" si="88"/>
        <v>1</v>
      </c>
      <c r="BR314" s="554">
        <f t="shared" si="88"/>
        <v>0</v>
      </c>
      <c r="BS314" s="554">
        <f t="shared" ref="BS314:CD314" si="89">BS164</f>
        <v>0</v>
      </c>
      <c r="BT314" s="554">
        <f t="shared" si="89"/>
        <v>0</v>
      </c>
      <c r="BU314" s="554">
        <f t="shared" si="89"/>
        <v>0</v>
      </c>
      <c r="BV314" s="554">
        <f t="shared" si="89"/>
        <v>0</v>
      </c>
      <c r="BW314" s="554">
        <f t="shared" si="89"/>
        <v>1</v>
      </c>
      <c r="BX314" s="554">
        <f t="shared" si="89"/>
        <v>1</v>
      </c>
      <c r="BY314" s="554">
        <f t="shared" si="89"/>
        <v>1</v>
      </c>
      <c r="BZ314" s="554">
        <f t="shared" si="89"/>
        <v>1</v>
      </c>
      <c r="CA314" s="554">
        <f t="shared" si="89"/>
        <v>0</v>
      </c>
      <c r="CB314" s="554">
        <f t="shared" si="89"/>
        <v>0</v>
      </c>
      <c r="CC314" s="554">
        <f t="shared" si="89"/>
        <v>0</v>
      </c>
      <c r="CD314" s="554">
        <f t="shared" si="89"/>
        <v>1</v>
      </c>
      <c r="CE314" s="560"/>
      <c r="CF314" s="560"/>
      <c r="CG314" s="560"/>
      <c r="CH314" s="560"/>
      <c r="CI314" s="560"/>
      <c r="CJ314" s="560"/>
      <c r="CK314" s="560"/>
      <c r="CL314" s="560"/>
      <c r="CM314" s="560"/>
      <c r="CN314" s="560"/>
      <c r="CO314" s="560"/>
      <c r="CP314" s="560"/>
      <c r="CQ314" s="560"/>
      <c r="CR314" s="560"/>
      <c r="CS314" s="560"/>
      <c r="CT314" s="560"/>
      <c r="CU314" s="560"/>
      <c r="CV314" s="560"/>
      <c r="CW314" s="560"/>
      <c r="CX314" s="560"/>
      <c r="CY314" s="560"/>
      <c r="CZ314" s="560"/>
    </row>
    <row r="315" spans="1:104" s="180" customFormat="1" x14ac:dyDescent="0.3">
      <c r="A315" s="555">
        <f>A58</f>
        <v>336</v>
      </c>
      <c r="B315" s="555" t="str">
        <f t="shared" ref="B315:BM315" si="90">B58</f>
        <v>Gov - Select Current Liabilities</v>
      </c>
      <c r="C315" s="555">
        <f t="shared" si="90"/>
        <v>0</v>
      </c>
      <c r="D315" s="555">
        <f t="shared" si="90"/>
        <v>0</v>
      </c>
      <c r="E315" s="555">
        <f t="shared" si="90"/>
        <v>150615</v>
      </c>
      <c r="F315" s="555">
        <f t="shared" si="90"/>
        <v>38887</v>
      </c>
      <c r="G315" s="555">
        <f t="shared" si="90"/>
        <v>49709</v>
      </c>
      <c r="H315" s="555">
        <f t="shared" si="90"/>
        <v>130716</v>
      </c>
      <c r="I315" s="555">
        <f t="shared" si="90"/>
        <v>3569</v>
      </c>
      <c r="J315" s="555">
        <f t="shared" si="90"/>
        <v>1128</v>
      </c>
      <c r="K315" s="555">
        <f t="shared" si="90"/>
        <v>170563</v>
      </c>
      <c r="L315" s="555">
        <f t="shared" si="90"/>
        <v>867127</v>
      </c>
      <c r="M315" s="555">
        <f t="shared" si="90"/>
        <v>69446293</v>
      </c>
      <c r="N315" s="555">
        <f t="shared" si="90"/>
        <v>18978</v>
      </c>
      <c r="O315" s="555">
        <f t="shared" si="90"/>
        <v>705696</v>
      </c>
      <c r="P315" s="555">
        <f t="shared" si="90"/>
        <v>12814</v>
      </c>
      <c r="Q315" s="555">
        <f t="shared" si="90"/>
        <v>6691579</v>
      </c>
      <c r="R315" s="555">
        <f t="shared" si="90"/>
        <v>2000</v>
      </c>
      <c r="S315" s="555">
        <f t="shared" si="90"/>
        <v>20431</v>
      </c>
      <c r="T315" s="555">
        <f t="shared" si="90"/>
        <v>1256378</v>
      </c>
      <c r="U315" s="555">
        <f t="shared" si="90"/>
        <v>34031</v>
      </c>
      <c r="V315" s="555">
        <f t="shared" si="90"/>
        <v>1422520</v>
      </c>
      <c r="W315" s="555">
        <f t="shared" si="90"/>
        <v>50097</v>
      </c>
      <c r="X315" s="555">
        <f t="shared" si="90"/>
        <v>19196</v>
      </c>
      <c r="Y315" s="555">
        <f t="shared" si="90"/>
        <v>169378</v>
      </c>
      <c r="Z315" s="555">
        <f t="shared" si="90"/>
        <v>6256725</v>
      </c>
      <c r="AA315" s="555">
        <f t="shared" si="90"/>
        <v>639524</v>
      </c>
      <c r="AB315" s="555">
        <f t="shared" si="90"/>
        <v>14615</v>
      </c>
      <c r="AC315" s="555">
        <f t="shared" si="90"/>
        <v>7419583</v>
      </c>
      <c r="AD315" s="555">
        <f t="shared" si="90"/>
        <v>0</v>
      </c>
      <c r="AE315" s="555">
        <f t="shared" si="90"/>
        <v>0</v>
      </c>
      <c r="AF315" s="555">
        <f t="shared" si="90"/>
        <v>32909024</v>
      </c>
      <c r="AG315" s="555">
        <f t="shared" si="90"/>
        <v>31265</v>
      </c>
      <c r="AH315" s="555">
        <f t="shared" si="90"/>
        <v>2770</v>
      </c>
      <c r="AI315" s="555">
        <f t="shared" si="90"/>
        <v>604139</v>
      </c>
      <c r="AJ315" s="555">
        <f t="shared" si="90"/>
        <v>42971</v>
      </c>
      <c r="AK315" s="555">
        <f t="shared" si="90"/>
        <v>491</v>
      </c>
      <c r="AL315" s="555">
        <f t="shared" si="90"/>
        <v>6585677</v>
      </c>
      <c r="AM315" s="555">
        <f t="shared" si="90"/>
        <v>3917</v>
      </c>
      <c r="AN315" s="555">
        <f t="shared" si="90"/>
        <v>5185682</v>
      </c>
      <c r="AO315" s="555">
        <f t="shared" si="90"/>
        <v>9518</v>
      </c>
      <c r="AP315" s="555">
        <f t="shared" si="90"/>
        <v>282076</v>
      </c>
      <c r="AQ315" s="555">
        <f t="shared" si="90"/>
        <v>56246</v>
      </c>
      <c r="AR315" s="555">
        <f t="shared" si="90"/>
        <v>711</v>
      </c>
      <c r="AS315" s="555">
        <f t="shared" si="90"/>
        <v>248646</v>
      </c>
      <c r="AT315" s="555">
        <f t="shared" si="90"/>
        <v>176296</v>
      </c>
      <c r="AU315" s="555">
        <f t="shared" si="90"/>
        <v>100675180</v>
      </c>
      <c r="AV315" s="555">
        <f t="shared" si="90"/>
        <v>37846642</v>
      </c>
      <c r="AW315" s="555">
        <f t="shared" si="90"/>
        <v>926658</v>
      </c>
      <c r="AX315" s="555">
        <f t="shared" si="90"/>
        <v>20409</v>
      </c>
      <c r="AY315" s="555">
        <f t="shared" si="90"/>
        <v>19415</v>
      </c>
      <c r="AZ315" s="555">
        <f t="shared" si="90"/>
        <v>0</v>
      </c>
      <c r="BA315" s="555">
        <f t="shared" si="90"/>
        <v>239</v>
      </c>
      <c r="BB315" s="555">
        <f t="shared" si="90"/>
        <v>1398568</v>
      </c>
      <c r="BC315" s="555">
        <f t="shared" si="90"/>
        <v>6927</v>
      </c>
      <c r="BD315" s="555">
        <f t="shared" si="90"/>
        <v>9705</v>
      </c>
      <c r="BE315" s="555">
        <f t="shared" si="90"/>
        <v>3414</v>
      </c>
      <c r="BF315" s="555">
        <f t="shared" si="90"/>
        <v>2262321</v>
      </c>
      <c r="BG315" s="555">
        <f t="shared" si="90"/>
        <v>0</v>
      </c>
      <c r="BH315" s="555">
        <f t="shared" si="90"/>
        <v>700018</v>
      </c>
      <c r="BI315" s="555">
        <f t="shared" si="90"/>
        <v>1011070</v>
      </c>
      <c r="BJ315" s="555">
        <f t="shared" si="90"/>
        <v>10489</v>
      </c>
      <c r="BK315" s="555">
        <f t="shared" si="90"/>
        <v>50410</v>
      </c>
      <c r="BL315" s="555">
        <f t="shared" si="90"/>
        <v>2954769</v>
      </c>
      <c r="BM315" s="555">
        <f t="shared" si="90"/>
        <v>2525553</v>
      </c>
      <c r="BN315" s="555">
        <f t="shared" ref="BN315:BR315" si="91">BN58</f>
        <v>892567</v>
      </c>
      <c r="BO315" s="555">
        <f t="shared" si="91"/>
        <v>13046433</v>
      </c>
      <c r="BP315" s="555">
        <f t="shared" si="91"/>
        <v>45670898</v>
      </c>
      <c r="BQ315" s="555">
        <f t="shared" si="91"/>
        <v>6551</v>
      </c>
      <c r="BR315" s="555">
        <f t="shared" si="91"/>
        <v>1120868</v>
      </c>
      <c r="BS315" s="555">
        <f t="shared" ref="BS315:CD315" si="92">BS58</f>
        <v>100847</v>
      </c>
      <c r="BT315" s="555">
        <f t="shared" si="92"/>
        <v>1132355</v>
      </c>
      <c r="BU315" s="555">
        <f t="shared" si="92"/>
        <v>4766</v>
      </c>
      <c r="BV315" s="555">
        <f t="shared" si="92"/>
        <v>15445</v>
      </c>
      <c r="BW315" s="555">
        <f t="shared" si="92"/>
        <v>2275698</v>
      </c>
      <c r="BX315" s="555">
        <f t="shared" si="92"/>
        <v>1234100</v>
      </c>
      <c r="BY315" s="555">
        <f t="shared" si="92"/>
        <v>21670276</v>
      </c>
      <c r="BZ315" s="555">
        <f t="shared" si="92"/>
        <v>208115</v>
      </c>
      <c r="CA315" s="555">
        <f t="shared" si="92"/>
        <v>24650331</v>
      </c>
      <c r="CB315" s="555">
        <f t="shared" si="92"/>
        <v>72983</v>
      </c>
      <c r="CC315" s="555">
        <f t="shared" si="92"/>
        <v>468454</v>
      </c>
      <c r="CD315" s="555">
        <f t="shared" si="92"/>
        <v>25887540</v>
      </c>
      <c r="CE315" s="564"/>
      <c r="CF315" s="564"/>
      <c r="CG315" s="564"/>
      <c r="CH315" s="564"/>
      <c r="CI315" s="564"/>
      <c r="CJ315" s="564"/>
      <c r="CK315" s="564"/>
      <c r="CL315" s="564"/>
      <c r="CM315" s="564"/>
      <c r="CN315" s="564"/>
      <c r="CO315" s="564"/>
      <c r="CP315" s="564"/>
      <c r="CQ315" s="564"/>
      <c r="CR315" s="564"/>
      <c r="CS315" s="564"/>
      <c r="CT315" s="564"/>
      <c r="CU315" s="564"/>
      <c r="CV315" s="564"/>
      <c r="CW315" s="564"/>
      <c r="CX315" s="564"/>
      <c r="CY315" s="564"/>
      <c r="CZ315" s="564"/>
    </row>
    <row r="316" spans="1:104" s="180" customFormat="1" x14ac:dyDescent="0.3">
      <c r="A316" s="555">
        <f>A14</f>
        <v>44</v>
      </c>
      <c r="B316" s="555" t="str">
        <f t="shared" ref="B316:BM317" si="93">B14</f>
        <v>WS - Total Current Assets</v>
      </c>
      <c r="C316" s="555">
        <f t="shared" si="93"/>
        <v>0</v>
      </c>
      <c r="D316" s="555">
        <f t="shared" si="93"/>
        <v>0</v>
      </c>
      <c r="E316" s="555">
        <f t="shared" si="93"/>
        <v>501251</v>
      </c>
      <c r="F316" s="555">
        <f t="shared" si="93"/>
        <v>0</v>
      </c>
      <c r="G316" s="555">
        <f t="shared" si="93"/>
        <v>1544274</v>
      </c>
      <c r="H316" s="555">
        <f t="shared" si="93"/>
        <v>803197</v>
      </c>
      <c r="I316" s="555">
        <f t="shared" si="93"/>
        <v>134392</v>
      </c>
      <c r="J316" s="555">
        <f t="shared" si="93"/>
        <v>0</v>
      </c>
      <c r="K316" s="555">
        <f t="shared" si="93"/>
        <v>285769</v>
      </c>
      <c r="L316" s="555">
        <f t="shared" si="93"/>
        <v>4672542</v>
      </c>
      <c r="M316" s="555">
        <f t="shared" si="93"/>
        <v>0</v>
      </c>
      <c r="N316" s="555">
        <f t="shared" si="93"/>
        <v>0</v>
      </c>
      <c r="O316" s="555">
        <f t="shared" si="93"/>
        <v>0</v>
      </c>
      <c r="P316" s="555">
        <f t="shared" si="93"/>
        <v>55670</v>
      </c>
      <c r="Q316" s="555">
        <f t="shared" si="93"/>
        <v>3183454</v>
      </c>
      <c r="R316" s="555">
        <f t="shared" si="93"/>
        <v>0</v>
      </c>
      <c r="S316" s="555">
        <f t="shared" si="93"/>
        <v>434638</v>
      </c>
      <c r="T316" s="555">
        <f t="shared" si="93"/>
        <v>1219025</v>
      </c>
      <c r="U316" s="555">
        <f t="shared" si="93"/>
        <v>1379213</v>
      </c>
      <c r="V316" s="555">
        <f t="shared" si="93"/>
        <v>9566167</v>
      </c>
      <c r="W316" s="555">
        <f t="shared" si="93"/>
        <v>0</v>
      </c>
      <c r="X316" s="555">
        <f t="shared" si="93"/>
        <v>424127</v>
      </c>
      <c r="Y316" s="555">
        <f t="shared" si="93"/>
        <v>893683</v>
      </c>
      <c r="Z316" s="555">
        <f t="shared" si="93"/>
        <v>58551540</v>
      </c>
      <c r="AA316" s="555">
        <f t="shared" si="93"/>
        <v>1531571</v>
      </c>
      <c r="AB316" s="555">
        <f t="shared" si="93"/>
        <v>761116</v>
      </c>
      <c r="AC316" s="555">
        <f t="shared" si="93"/>
        <v>0</v>
      </c>
      <c r="AD316" s="555">
        <f t="shared" si="93"/>
        <v>0</v>
      </c>
      <c r="AE316" s="555">
        <f t="shared" si="93"/>
        <v>0</v>
      </c>
      <c r="AF316" s="555">
        <f t="shared" si="93"/>
        <v>28994439</v>
      </c>
      <c r="AG316" s="555">
        <f t="shared" si="93"/>
        <v>0</v>
      </c>
      <c r="AH316" s="555">
        <f t="shared" si="93"/>
        <v>83014</v>
      </c>
      <c r="AI316" s="555">
        <f t="shared" si="93"/>
        <v>2431150</v>
      </c>
      <c r="AJ316" s="555">
        <f t="shared" si="93"/>
        <v>118916</v>
      </c>
      <c r="AK316" s="555">
        <f t="shared" si="93"/>
        <v>221265</v>
      </c>
      <c r="AL316" s="555">
        <f t="shared" si="93"/>
        <v>26380156</v>
      </c>
      <c r="AM316" s="555">
        <f t="shared" si="93"/>
        <v>739605</v>
      </c>
      <c r="AN316" s="555">
        <f t="shared" si="93"/>
        <v>14777988</v>
      </c>
      <c r="AO316" s="555">
        <f t="shared" si="93"/>
        <v>0</v>
      </c>
      <c r="AP316" s="555">
        <f t="shared" si="93"/>
        <v>4035420</v>
      </c>
      <c r="AQ316" s="555">
        <f t="shared" si="93"/>
        <v>0</v>
      </c>
      <c r="AR316" s="555">
        <f t="shared" si="93"/>
        <v>0</v>
      </c>
      <c r="AS316" s="555">
        <f t="shared" si="93"/>
        <v>1724007</v>
      </c>
      <c r="AT316" s="555">
        <f t="shared" si="93"/>
        <v>338213</v>
      </c>
      <c r="AU316" s="555">
        <f t="shared" si="93"/>
        <v>71449828</v>
      </c>
      <c r="AV316" s="555">
        <f t="shared" si="93"/>
        <v>31867797</v>
      </c>
      <c r="AW316" s="555">
        <f t="shared" si="93"/>
        <v>695228</v>
      </c>
      <c r="AX316" s="555">
        <f t="shared" si="93"/>
        <v>123837</v>
      </c>
      <c r="AY316" s="555">
        <f t="shared" si="93"/>
        <v>41498</v>
      </c>
      <c r="AZ316" s="555">
        <f t="shared" si="93"/>
        <v>0</v>
      </c>
      <c r="BA316" s="555">
        <f t="shared" si="93"/>
        <v>-85032</v>
      </c>
      <c r="BB316" s="555">
        <f t="shared" si="93"/>
        <v>4406830</v>
      </c>
      <c r="BC316" s="555">
        <f t="shared" si="93"/>
        <v>390713</v>
      </c>
      <c r="BD316" s="555">
        <f t="shared" si="93"/>
        <v>0</v>
      </c>
      <c r="BE316" s="555">
        <f t="shared" si="93"/>
        <v>195243</v>
      </c>
      <c r="BF316" s="555">
        <f t="shared" si="93"/>
        <v>12124590</v>
      </c>
      <c r="BG316" s="555">
        <f t="shared" si="93"/>
        <v>0</v>
      </c>
      <c r="BH316" s="555">
        <f t="shared" si="93"/>
        <v>11730999</v>
      </c>
      <c r="BI316" s="555">
        <f t="shared" si="93"/>
        <v>1258259</v>
      </c>
      <c r="BJ316" s="555">
        <f t="shared" si="93"/>
        <v>0</v>
      </c>
      <c r="BK316" s="555">
        <f t="shared" si="93"/>
        <v>0</v>
      </c>
      <c r="BL316" s="555">
        <f t="shared" si="93"/>
        <v>33590652</v>
      </c>
      <c r="BM316" s="555">
        <f t="shared" si="93"/>
        <v>17293338</v>
      </c>
      <c r="BN316" s="555">
        <f t="shared" ref="BN316:BR319" si="94">BN14</f>
        <v>925823</v>
      </c>
      <c r="BO316" s="555">
        <f t="shared" si="94"/>
        <v>33496568</v>
      </c>
      <c r="BP316" s="555">
        <f t="shared" si="94"/>
        <v>50055866</v>
      </c>
      <c r="BQ316" s="555">
        <f t="shared" si="94"/>
        <v>305762</v>
      </c>
      <c r="BR316" s="555">
        <f t="shared" si="94"/>
        <v>809400</v>
      </c>
      <c r="BS316" s="555">
        <f t="shared" ref="BS316:CD316" si="95">BS14</f>
        <v>0</v>
      </c>
      <c r="BT316" s="555">
        <f t="shared" si="95"/>
        <v>14730556</v>
      </c>
      <c r="BU316" s="555">
        <f t="shared" si="95"/>
        <v>319405</v>
      </c>
      <c r="BV316" s="555">
        <f t="shared" si="95"/>
        <v>22378</v>
      </c>
      <c r="BW316" s="555">
        <f t="shared" si="95"/>
        <v>1536043</v>
      </c>
      <c r="BX316" s="555">
        <f t="shared" si="95"/>
        <v>0</v>
      </c>
      <c r="BY316" s="555">
        <f t="shared" si="95"/>
        <v>47324337</v>
      </c>
      <c r="BZ316" s="555">
        <f t="shared" si="95"/>
        <v>985425</v>
      </c>
      <c r="CA316" s="555">
        <f t="shared" si="95"/>
        <v>0</v>
      </c>
      <c r="CB316" s="555">
        <f t="shared" si="95"/>
        <v>466695</v>
      </c>
      <c r="CC316" s="555">
        <f t="shared" si="95"/>
        <v>0</v>
      </c>
      <c r="CD316" s="555">
        <f t="shared" si="95"/>
        <v>0</v>
      </c>
      <c r="CE316" s="564"/>
      <c r="CF316" s="564"/>
      <c r="CG316" s="564"/>
      <c r="CH316" s="564"/>
      <c r="CI316" s="564"/>
      <c r="CJ316" s="564"/>
      <c r="CK316" s="564"/>
      <c r="CL316" s="564"/>
      <c r="CM316" s="564"/>
      <c r="CN316" s="564"/>
      <c r="CO316" s="564"/>
      <c r="CP316" s="564"/>
      <c r="CQ316" s="564"/>
      <c r="CR316" s="564"/>
      <c r="CS316" s="564"/>
      <c r="CT316" s="564"/>
      <c r="CU316" s="564"/>
      <c r="CV316" s="564"/>
      <c r="CW316" s="564"/>
      <c r="CX316" s="564"/>
      <c r="CY316" s="564"/>
      <c r="CZ316" s="564"/>
    </row>
    <row r="317" spans="1:104" s="180" customFormat="1" x14ac:dyDescent="0.3">
      <c r="A317" s="555">
        <f t="shared" ref="A317:P319" si="96">A15</f>
        <v>45</v>
      </c>
      <c r="B317" s="555" t="str">
        <f t="shared" si="96"/>
        <v>WS - Select Current Liabilities</v>
      </c>
      <c r="C317" s="555">
        <f t="shared" si="96"/>
        <v>0</v>
      </c>
      <c r="D317" s="555">
        <f t="shared" si="96"/>
        <v>0</v>
      </c>
      <c r="E317" s="555">
        <f t="shared" si="96"/>
        <v>248235</v>
      </c>
      <c r="F317" s="555">
        <f t="shared" si="96"/>
        <v>0</v>
      </c>
      <c r="G317" s="555">
        <f t="shared" si="96"/>
        <v>42287</v>
      </c>
      <c r="H317" s="555">
        <f t="shared" si="96"/>
        <v>172381</v>
      </c>
      <c r="I317" s="555">
        <f t="shared" si="96"/>
        <v>16709</v>
      </c>
      <c r="J317" s="555">
        <f t="shared" si="96"/>
        <v>0</v>
      </c>
      <c r="K317" s="555">
        <f t="shared" si="96"/>
        <v>54458</v>
      </c>
      <c r="L317" s="555">
        <f t="shared" si="96"/>
        <v>1143067</v>
      </c>
      <c r="M317" s="555">
        <f t="shared" si="96"/>
        <v>0</v>
      </c>
      <c r="N317" s="555">
        <f t="shared" si="96"/>
        <v>0</v>
      </c>
      <c r="O317" s="555">
        <f t="shared" si="96"/>
        <v>0</v>
      </c>
      <c r="P317" s="555">
        <f t="shared" si="96"/>
        <v>18919</v>
      </c>
      <c r="Q317" s="555">
        <f t="shared" si="93"/>
        <v>511392</v>
      </c>
      <c r="R317" s="555">
        <f t="shared" si="93"/>
        <v>0</v>
      </c>
      <c r="S317" s="555">
        <f t="shared" si="93"/>
        <v>33006</v>
      </c>
      <c r="T317" s="555">
        <f t="shared" si="93"/>
        <v>130598</v>
      </c>
      <c r="U317" s="555">
        <f t="shared" si="93"/>
        <v>43300</v>
      </c>
      <c r="V317" s="555">
        <f t="shared" si="93"/>
        <v>1112952</v>
      </c>
      <c r="W317" s="555">
        <f t="shared" si="93"/>
        <v>0</v>
      </c>
      <c r="X317" s="555">
        <f t="shared" si="93"/>
        <v>46779</v>
      </c>
      <c r="Y317" s="555">
        <f t="shared" si="93"/>
        <v>55233</v>
      </c>
      <c r="Z317" s="555">
        <f t="shared" si="93"/>
        <v>10703371</v>
      </c>
      <c r="AA317" s="555">
        <f t="shared" si="93"/>
        <v>0</v>
      </c>
      <c r="AB317" s="555">
        <f t="shared" si="93"/>
        <v>75651</v>
      </c>
      <c r="AC317" s="555">
        <f t="shared" si="93"/>
        <v>0</v>
      </c>
      <c r="AD317" s="555">
        <f t="shared" si="93"/>
        <v>0</v>
      </c>
      <c r="AE317" s="555">
        <f t="shared" si="93"/>
        <v>0</v>
      </c>
      <c r="AF317" s="555">
        <f t="shared" si="93"/>
        <v>7129068</v>
      </c>
      <c r="AG317" s="555">
        <f t="shared" si="93"/>
        <v>0</v>
      </c>
      <c r="AH317" s="555">
        <f t="shared" si="93"/>
        <v>3155</v>
      </c>
      <c r="AI317" s="555">
        <f t="shared" si="93"/>
        <v>305533</v>
      </c>
      <c r="AJ317" s="555">
        <f t="shared" si="93"/>
        <v>0</v>
      </c>
      <c r="AK317" s="555">
        <f t="shared" si="93"/>
        <v>241708</v>
      </c>
      <c r="AL317" s="555">
        <f t="shared" si="93"/>
        <v>3147991</v>
      </c>
      <c r="AM317" s="555">
        <f t="shared" si="93"/>
        <v>448322</v>
      </c>
      <c r="AN317" s="555">
        <f t="shared" si="93"/>
        <v>1453729</v>
      </c>
      <c r="AO317" s="555">
        <f t="shared" si="93"/>
        <v>0</v>
      </c>
      <c r="AP317" s="555">
        <f t="shared" si="93"/>
        <v>1342010</v>
      </c>
      <c r="AQ317" s="555">
        <f t="shared" si="93"/>
        <v>0</v>
      </c>
      <c r="AR317" s="555">
        <f t="shared" si="93"/>
        <v>0</v>
      </c>
      <c r="AS317" s="555">
        <f t="shared" si="93"/>
        <v>599219</v>
      </c>
      <c r="AT317" s="555">
        <f t="shared" si="93"/>
        <v>6338</v>
      </c>
      <c r="AU317" s="555">
        <f t="shared" si="93"/>
        <v>28974888</v>
      </c>
      <c r="AV317" s="555">
        <f t="shared" si="93"/>
        <v>10064196</v>
      </c>
      <c r="AW317" s="555">
        <f t="shared" si="93"/>
        <v>44800</v>
      </c>
      <c r="AX317" s="555">
        <f t="shared" si="93"/>
        <v>63146</v>
      </c>
      <c r="AY317" s="555">
        <f t="shared" si="93"/>
        <v>54289</v>
      </c>
      <c r="AZ317" s="555">
        <f t="shared" si="93"/>
        <v>0</v>
      </c>
      <c r="BA317" s="555">
        <f t="shared" si="93"/>
        <v>364564</v>
      </c>
      <c r="BB317" s="555">
        <f t="shared" si="93"/>
        <v>89291</v>
      </c>
      <c r="BC317" s="555">
        <f t="shared" si="93"/>
        <v>12745</v>
      </c>
      <c r="BD317" s="555">
        <f t="shared" si="93"/>
        <v>0</v>
      </c>
      <c r="BE317" s="555">
        <f t="shared" si="93"/>
        <v>15901</v>
      </c>
      <c r="BF317" s="555">
        <f t="shared" si="93"/>
        <v>1954593</v>
      </c>
      <c r="BG317" s="555">
        <f t="shared" si="93"/>
        <v>0</v>
      </c>
      <c r="BH317" s="555">
        <f t="shared" si="93"/>
        <v>519795</v>
      </c>
      <c r="BI317" s="555">
        <f t="shared" si="93"/>
        <v>280465</v>
      </c>
      <c r="BJ317" s="555">
        <f t="shared" si="93"/>
        <v>0</v>
      </c>
      <c r="BK317" s="555">
        <f t="shared" si="93"/>
        <v>0</v>
      </c>
      <c r="BL317" s="555">
        <f t="shared" si="93"/>
        <v>2420854</v>
      </c>
      <c r="BM317" s="555">
        <f t="shared" si="93"/>
        <v>10414468</v>
      </c>
      <c r="BN317" s="555">
        <f t="shared" si="94"/>
        <v>507195</v>
      </c>
      <c r="BO317" s="555">
        <f t="shared" si="94"/>
        <v>8179994</v>
      </c>
      <c r="BP317" s="555">
        <f t="shared" si="94"/>
        <v>15776399</v>
      </c>
      <c r="BQ317" s="555">
        <f t="shared" si="94"/>
        <v>13451</v>
      </c>
      <c r="BR317" s="555">
        <f t="shared" si="94"/>
        <v>549042</v>
      </c>
      <c r="BS317" s="555">
        <f t="shared" ref="BS317:CD317" si="97">BS15</f>
        <v>0</v>
      </c>
      <c r="BT317" s="555">
        <f t="shared" si="97"/>
        <v>4703412</v>
      </c>
      <c r="BU317" s="555">
        <f t="shared" si="97"/>
        <v>4741</v>
      </c>
      <c r="BV317" s="555">
        <f t="shared" si="97"/>
        <v>573</v>
      </c>
      <c r="BW317" s="555">
        <f t="shared" si="97"/>
        <v>340827</v>
      </c>
      <c r="BX317" s="555">
        <f t="shared" si="97"/>
        <v>0</v>
      </c>
      <c r="BY317" s="555">
        <f t="shared" si="97"/>
        <v>9490874</v>
      </c>
      <c r="BZ317" s="555">
        <f t="shared" si="97"/>
        <v>467175</v>
      </c>
      <c r="CA317" s="555">
        <f t="shared" si="97"/>
        <v>0</v>
      </c>
      <c r="CB317" s="555">
        <f t="shared" si="97"/>
        <v>4316</v>
      </c>
      <c r="CC317" s="555">
        <f t="shared" si="97"/>
        <v>0</v>
      </c>
      <c r="CD317" s="555">
        <f t="shared" si="97"/>
        <v>0</v>
      </c>
      <c r="CE317" s="564"/>
      <c r="CF317" s="564"/>
      <c r="CG317" s="564"/>
      <c r="CH317" s="564"/>
      <c r="CI317" s="564"/>
      <c r="CJ317" s="564"/>
      <c r="CK317" s="564"/>
      <c r="CL317" s="564"/>
      <c r="CM317" s="564"/>
      <c r="CN317" s="564"/>
      <c r="CO317" s="564"/>
      <c r="CP317" s="564"/>
      <c r="CQ317" s="564"/>
      <c r="CR317" s="564"/>
      <c r="CS317" s="564"/>
      <c r="CT317" s="564"/>
      <c r="CU317" s="564"/>
      <c r="CV317" s="564"/>
      <c r="CW317" s="564"/>
      <c r="CX317" s="564"/>
      <c r="CY317" s="564"/>
      <c r="CZ317" s="564"/>
    </row>
    <row r="318" spans="1:104" s="180" customFormat="1" x14ac:dyDescent="0.3">
      <c r="A318" s="555">
        <f t="shared" si="96"/>
        <v>47</v>
      </c>
      <c r="B318" s="555" t="str">
        <f t="shared" ref="B318:BM319" si="98">B16</f>
        <v>Electric - Total Current Assets</v>
      </c>
      <c r="C318" s="555">
        <f t="shared" si="98"/>
        <v>0</v>
      </c>
      <c r="D318" s="555">
        <f t="shared" si="98"/>
        <v>0</v>
      </c>
      <c r="E318" s="555">
        <f t="shared" si="98"/>
        <v>0</v>
      </c>
      <c r="F318" s="555">
        <f t="shared" si="98"/>
        <v>0</v>
      </c>
      <c r="G318" s="555">
        <f t="shared" si="98"/>
        <v>0</v>
      </c>
      <c r="H318" s="555">
        <f t="shared" si="98"/>
        <v>0</v>
      </c>
      <c r="I318" s="555">
        <f t="shared" si="98"/>
        <v>0</v>
      </c>
      <c r="J318" s="555">
        <f t="shared" si="98"/>
        <v>0</v>
      </c>
      <c r="K318" s="555">
        <f t="shared" si="98"/>
        <v>0</v>
      </c>
      <c r="L318" s="555">
        <f t="shared" si="98"/>
        <v>2023390</v>
      </c>
      <c r="M318" s="555">
        <f t="shared" si="98"/>
        <v>0</v>
      </c>
      <c r="N318" s="555">
        <f t="shared" si="98"/>
        <v>0</v>
      </c>
      <c r="O318" s="555">
        <f t="shared" si="98"/>
        <v>0</v>
      </c>
      <c r="P318" s="555">
        <f t="shared" si="98"/>
        <v>0</v>
      </c>
      <c r="Q318" s="555">
        <f t="shared" si="98"/>
        <v>4553636</v>
      </c>
      <c r="R318" s="555">
        <f t="shared" si="98"/>
        <v>0</v>
      </c>
      <c r="S318" s="555">
        <f t="shared" si="98"/>
        <v>1065635</v>
      </c>
      <c r="T318" s="555">
        <f t="shared" si="98"/>
        <v>0</v>
      </c>
      <c r="U318" s="555">
        <f t="shared" si="98"/>
        <v>0</v>
      </c>
      <c r="V318" s="555">
        <f t="shared" si="98"/>
        <v>0</v>
      </c>
      <c r="W318" s="555">
        <f t="shared" si="98"/>
        <v>0</v>
      </c>
      <c r="X318" s="555">
        <f t="shared" si="98"/>
        <v>0</v>
      </c>
      <c r="Y318" s="555">
        <f t="shared" si="98"/>
        <v>654192</v>
      </c>
      <c r="Z318" s="555">
        <f t="shared" si="98"/>
        <v>0</v>
      </c>
      <c r="AA318" s="555">
        <f t="shared" si="98"/>
        <v>0</v>
      </c>
      <c r="AB318" s="555">
        <f t="shared" si="98"/>
        <v>0</v>
      </c>
      <c r="AC318" s="555">
        <f t="shared" si="98"/>
        <v>0</v>
      </c>
      <c r="AD318" s="555">
        <f t="shared" si="98"/>
        <v>0</v>
      </c>
      <c r="AE318" s="555">
        <f t="shared" si="98"/>
        <v>0</v>
      </c>
      <c r="AF318" s="555">
        <f t="shared" si="98"/>
        <v>62803288</v>
      </c>
      <c r="AG318" s="555">
        <f t="shared" si="98"/>
        <v>0</v>
      </c>
      <c r="AH318" s="555">
        <f t="shared" si="98"/>
        <v>0</v>
      </c>
      <c r="AI318" s="555">
        <f t="shared" si="98"/>
        <v>0</v>
      </c>
      <c r="AJ318" s="555">
        <f t="shared" si="98"/>
        <v>0</v>
      </c>
      <c r="AK318" s="555">
        <f t="shared" si="98"/>
        <v>0</v>
      </c>
      <c r="AL318" s="555">
        <f t="shared" si="98"/>
        <v>0</v>
      </c>
      <c r="AM318" s="555">
        <f t="shared" si="98"/>
        <v>0</v>
      </c>
      <c r="AN318" s="555">
        <f t="shared" si="98"/>
        <v>0</v>
      </c>
      <c r="AO318" s="555">
        <f t="shared" si="98"/>
        <v>0</v>
      </c>
      <c r="AP318" s="555">
        <f t="shared" si="98"/>
        <v>8722804</v>
      </c>
      <c r="AQ318" s="555">
        <f t="shared" si="98"/>
        <v>0</v>
      </c>
      <c r="AR318" s="555">
        <f t="shared" si="98"/>
        <v>0</v>
      </c>
      <c r="AS318" s="555">
        <f t="shared" si="98"/>
        <v>0</v>
      </c>
      <c r="AT318" s="555">
        <f t="shared" si="98"/>
        <v>0</v>
      </c>
      <c r="AU318" s="555">
        <f t="shared" si="98"/>
        <v>0</v>
      </c>
      <c r="AV318" s="555">
        <f t="shared" si="98"/>
        <v>71815139</v>
      </c>
      <c r="AW318" s="555">
        <f t="shared" si="98"/>
        <v>0</v>
      </c>
      <c r="AX318" s="555">
        <f t="shared" si="98"/>
        <v>0</v>
      </c>
      <c r="AY318" s="555">
        <f t="shared" si="98"/>
        <v>0</v>
      </c>
      <c r="AZ318" s="555">
        <f t="shared" si="98"/>
        <v>0</v>
      </c>
      <c r="BA318" s="555">
        <f t="shared" si="98"/>
        <v>658266</v>
      </c>
      <c r="BB318" s="555">
        <f t="shared" si="98"/>
        <v>0</v>
      </c>
      <c r="BC318" s="555">
        <f t="shared" si="98"/>
        <v>0</v>
      </c>
      <c r="BD318" s="555">
        <f t="shared" si="98"/>
        <v>0</v>
      </c>
      <c r="BE318" s="555">
        <f t="shared" si="98"/>
        <v>0</v>
      </c>
      <c r="BF318" s="555">
        <f t="shared" si="98"/>
        <v>0</v>
      </c>
      <c r="BG318" s="555">
        <f t="shared" si="98"/>
        <v>0</v>
      </c>
      <c r="BH318" s="555">
        <f t="shared" si="98"/>
        <v>0</v>
      </c>
      <c r="BI318" s="555">
        <f t="shared" si="98"/>
        <v>0</v>
      </c>
      <c r="BJ318" s="555">
        <f t="shared" si="98"/>
        <v>0</v>
      </c>
      <c r="BK318" s="555">
        <f t="shared" si="98"/>
        <v>0</v>
      </c>
      <c r="BL318" s="555">
        <f t="shared" si="98"/>
        <v>0</v>
      </c>
      <c r="BM318" s="555">
        <f t="shared" si="98"/>
        <v>0</v>
      </c>
      <c r="BN318" s="555">
        <f t="shared" si="94"/>
        <v>1532937</v>
      </c>
      <c r="BO318" s="555">
        <f t="shared" si="94"/>
        <v>0</v>
      </c>
      <c r="BP318" s="555">
        <f t="shared" si="94"/>
        <v>91285271</v>
      </c>
      <c r="BQ318" s="555">
        <f t="shared" si="94"/>
        <v>0</v>
      </c>
      <c r="BR318" s="555">
        <f t="shared" si="94"/>
        <v>10455403</v>
      </c>
      <c r="BS318" s="555">
        <f t="shared" ref="BS318:CD318" si="99">BS16</f>
        <v>0</v>
      </c>
      <c r="BT318" s="555">
        <f t="shared" si="99"/>
        <v>0</v>
      </c>
      <c r="BU318" s="555">
        <f t="shared" si="99"/>
        <v>405423</v>
      </c>
      <c r="BV318" s="555">
        <f t="shared" si="99"/>
        <v>0</v>
      </c>
      <c r="BW318" s="555">
        <f t="shared" si="99"/>
        <v>0</v>
      </c>
      <c r="BX318" s="555">
        <f t="shared" si="99"/>
        <v>0</v>
      </c>
      <c r="BY318" s="555">
        <f t="shared" si="99"/>
        <v>0</v>
      </c>
      <c r="BZ318" s="555">
        <f t="shared" si="99"/>
        <v>330144</v>
      </c>
      <c r="CA318" s="555">
        <f t="shared" si="99"/>
        <v>0</v>
      </c>
      <c r="CB318" s="555">
        <f t="shared" si="99"/>
        <v>0</v>
      </c>
      <c r="CC318" s="555">
        <f t="shared" si="99"/>
        <v>0</v>
      </c>
      <c r="CD318" s="555">
        <f t="shared" si="99"/>
        <v>11841156</v>
      </c>
      <c r="CE318" s="564"/>
      <c r="CF318" s="564"/>
      <c r="CG318" s="564"/>
      <c r="CH318" s="564"/>
      <c r="CI318" s="564"/>
      <c r="CJ318" s="564"/>
      <c r="CK318" s="564"/>
      <c r="CL318" s="564"/>
      <c r="CM318" s="564"/>
      <c r="CN318" s="564"/>
      <c r="CO318" s="564"/>
      <c r="CP318" s="564"/>
      <c r="CQ318" s="564"/>
      <c r="CR318" s="564"/>
      <c r="CS318" s="564"/>
      <c r="CT318" s="564"/>
      <c r="CU318" s="564"/>
      <c r="CV318" s="564"/>
      <c r="CW318" s="564"/>
      <c r="CX318" s="564"/>
      <c r="CY318" s="564"/>
      <c r="CZ318" s="564"/>
    </row>
    <row r="319" spans="1:104" s="180" customFormat="1" x14ac:dyDescent="0.3">
      <c r="A319" s="555">
        <f t="shared" si="96"/>
        <v>48</v>
      </c>
      <c r="B319" s="555" t="str">
        <f t="shared" si="98"/>
        <v>Electric - Select Current Liabilities</v>
      </c>
      <c r="C319" s="555">
        <f t="shared" si="98"/>
        <v>0</v>
      </c>
      <c r="D319" s="555">
        <f t="shared" si="98"/>
        <v>0</v>
      </c>
      <c r="E319" s="555">
        <f t="shared" si="98"/>
        <v>0</v>
      </c>
      <c r="F319" s="555">
        <f t="shared" si="98"/>
        <v>0</v>
      </c>
      <c r="G319" s="555">
        <f t="shared" si="98"/>
        <v>0</v>
      </c>
      <c r="H319" s="555">
        <f t="shared" si="98"/>
        <v>0</v>
      </c>
      <c r="I319" s="555">
        <f t="shared" si="98"/>
        <v>0</v>
      </c>
      <c r="J319" s="555">
        <f t="shared" si="98"/>
        <v>0</v>
      </c>
      <c r="K319" s="555">
        <f t="shared" si="98"/>
        <v>0</v>
      </c>
      <c r="L319" s="555">
        <f t="shared" si="98"/>
        <v>421466</v>
      </c>
      <c r="M319" s="555">
        <f t="shared" si="98"/>
        <v>0</v>
      </c>
      <c r="N319" s="555">
        <f t="shared" si="98"/>
        <v>0</v>
      </c>
      <c r="O319" s="555">
        <f t="shared" si="98"/>
        <v>0</v>
      </c>
      <c r="P319" s="555">
        <f t="shared" si="98"/>
        <v>0</v>
      </c>
      <c r="Q319" s="555">
        <f t="shared" si="98"/>
        <v>296794</v>
      </c>
      <c r="R319" s="555">
        <f t="shared" si="98"/>
        <v>0</v>
      </c>
      <c r="S319" s="555">
        <f t="shared" si="98"/>
        <v>35305</v>
      </c>
      <c r="T319" s="555">
        <f t="shared" si="98"/>
        <v>0</v>
      </c>
      <c r="U319" s="555">
        <f t="shared" si="98"/>
        <v>0</v>
      </c>
      <c r="V319" s="555">
        <f t="shared" si="98"/>
        <v>0</v>
      </c>
      <c r="W319" s="555">
        <f t="shared" si="98"/>
        <v>0</v>
      </c>
      <c r="X319" s="555">
        <f t="shared" si="98"/>
        <v>0</v>
      </c>
      <c r="Y319" s="555">
        <f t="shared" si="98"/>
        <v>107183</v>
      </c>
      <c r="Z319" s="555">
        <f t="shared" si="98"/>
        <v>0</v>
      </c>
      <c r="AA319" s="555">
        <f t="shared" si="98"/>
        <v>0</v>
      </c>
      <c r="AB319" s="555">
        <f t="shared" si="98"/>
        <v>0</v>
      </c>
      <c r="AC319" s="555">
        <f t="shared" si="98"/>
        <v>0</v>
      </c>
      <c r="AD319" s="555">
        <f t="shared" si="98"/>
        <v>0</v>
      </c>
      <c r="AE319" s="555">
        <f t="shared" si="98"/>
        <v>0</v>
      </c>
      <c r="AF319" s="555">
        <f t="shared" si="98"/>
        <v>6502182</v>
      </c>
      <c r="AG319" s="555">
        <f t="shared" si="98"/>
        <v>0</v>
      </c>
      <c r="AH319" s="555">
        <f t="shared" si="98"/>
        <v>0</v>
      </c>
      <c r="AI319" s="555">
        <f t="shared" si="98"/>
        <v>0</v>
      </c>
      <c r="AJ319" s="555">
        <f t="shared" si="98"/>
        <v>0</v>
      </c>
      <c r="AK319" s="555">
        <f t="shared" si="98"/>
        <v>0</v>
      </c>
      <c r="AL319" s="555">
        <f t="shared" si="98"/>
        <v>0</v>
      </c>
      <c r="AM319" s="555">
        <f t="shared" si="98"/>
        <v>0</v>
      </c>
      <c r="AN319" s="555">
        <f t="shared" si="98"/>
        <v>0</v>
      </c>
      <c r="AO319" s="555">
        <f t="shared" si="98"/>
        <v>0</v>
      </c>
      <c r="AP319" s="555">
        <f t="shared" si="98"/>
        <v>433455</v>
      </c>
      <c r="AQ319" s="555">
        <f t="shared" si="98"/>
        <v>0</v>
      </c>
      <c r="AR319" s="555">
        <f t="shared" si="98"/>
        <v>0</v>
      </c>
      <c r="AS319" s="555">
        <f t="shared" si="98"/>
        <v>0</v>
      </c>
      <c r="AT319" s="555">
        <f t="shared" si="98"/>
        <v>0</v>
      </c>
      <c r="AU319" s="555">
        <f t="shared" si="98"/>
        <v>0</v>
      </c>
      <c r="AV319" s="555">
        <f t="shared" si="98"/>
        <v>17663316</v>
      </c>
      <c r="AW319" s="555">
        <f t="shared" si="98"/>
        <v>0</v>
      </c>
      <c r="AX319" s="555">
        <f t="shared" si="98"/>
        <v>0</v>
      </c>
      <c r="AY319" s="555">
        <f t="shared" si="98"/>
        <v>0</v>
      </c>
      <c r="AZ319" s="555">
        <f t="shared" si="98"/>
        <v>0</v>
      </c>
      <c r="BA319" s="555">
        <f t="shared" si="98"/>
        <v>31723</v>
      </c>
      <c r="BB319" s="555">
        <f t="shared" si="98"/>
        <v>0</v>
      </c>
      <c r="BC319" s="555">
        <f t="shared" si="98"/>
        <v>0</v>
      </c>
      <c r="BD319" s="555">
        <f t="shared" si="98"/>
        <v>0</v>
      </c>
      <c r="BE319" s="555">
        <f t="shared" si="98"/>
        <v>0</v>
      </c>
      <c r="BF319" s="555">
        <f t="shared" si="98"/>
        <v>0</v>
      </c>
      <c r="BG319" s="555">
        <f t="shared" si="98"/>
        <v>0</v>
      </c>
      <c r="BH319" s="555">
        <f t="shared" si="98"/>
        <v>0</v>
      </c>
      <c r="BI319" s="555">
        <f t="shared" si="98"/>
        <v>0</v>
      </c>
      <c r="BJ319" s="555">
        <f t="shared" si="98"/>
        <v>0</v>
      </c>
      <c r="BK319" s="555">
        <f t="shared" si="98"/>
        <v>0</v>
      </c>
      <c r="BL319" s="555">
        <f t="shared" si="98"/>
        <v>0</v>
      </c>
      <c r="BM319" s="555">
        <f t="shared" si="98"/>
        <v>0</v>
      </c>
      <c r="BN319" s="555">
        <f t="shared" si="94"/>
        <v>200169</v>
      </c>
      <c r="BO319" s="555">
        <f t="shared" si="94"/>
        <v>0</v>
      </c>
      <c r="BP319" s="555">
        <f t="shared" si="94"/>
        <v>9609866</v>
      </c>
      <c r="BQ319" s="555">
        <f t="shared" si="94"/>
        <v>0</v>
      </c>
      <c r="BR319" s="555">
        <f t="shared" si="94"/>
        <v>429891</v>
      </c>
      <c r="BS319" s="555">
        <f t="shared" ref="BS319:CD319" si="100">BS17</f>
        <v>0</v>
      </c>
      <c r="BT319" s="555">
        <f t="shared" si="100"/>
        <v>0</v>
      </c>
      <c r="BU319" s="555">
        <f t="shared" si="100"/>
        <v>38316</v>
      </c>
      <c r="BV319" s="555">
        <f t="shared" si="100"/>
        <v>0</v>
      </c>
      <c r="BW319" s="555">
        <f t="shared" si="100"/>
        <v>0</v>
      </c>
      <c r="BX319" s="555">
        <f t="shared" si="100"/>
        <v>0</v>
      </c>
      <c r="BY319" s="555">
        <f t="shared" si="100"/>
        <v>0</v>
      </c>
      <c r="BZ319" s="555">
        <f t="shared" si="100"/>
        <v>40671</v>
      </c>
      <c r="CA319" s="555">
        <f t="shared" si="100"/>
        <v>0</v>
      </c>
      <c r="CB319" s="555">
        <f t="shared" si="100"/>
        <v>0</v>
      </c>
      <c r="CC319" s="555">
        <f t="shared" si="100"/>
        <v>0</v>
      </c>
      <c r="CD319" s="555">
        <f t="shared" si="100"/>
        <v>2659866</v>
      </c>
      <c r="CE319" s="564"/>
      <c r="CF319" s="564"/>
      <c r="CG319" s="564"/>
      <c r="CH319" s="564"/>
      <c r="CI319" s="564"/>
      <c r="CJ319" s="564"/>
      <c r="CK319" s="564"/>
      <c r="CL319" s="564"/>
      <c r="CM319" s="564"/>
      <c r="CN319" s="564"/>
      <c r="CO319" s="564"/>
      <c r="CP319" s="564"/>
      <c r="CQ319" s="564"/>
      <c r="CR319" s="564"/>
      <c r="CS319" s="564"/>
      <c r="CT319" s="564"/>
      <c r="CU319" s="564"/>
      <c r="CV319" s="564"/>
      <c r="CW319" s="564"/>
      <c r="CX319" s="564"/>
      <c r="CY319" s="564"/>
      <c r="CZ319" s="564"/>
    </row>
    <row r="320" spans="1:104" s="180" customFormat="1" x14ac:dyDescent="0.3">
      <c r="A320" s="559">
        <f>A95</f>
        <v>385</v>
      </c>
      <c r="B320" s="559" t="str">
        <f t="shared" ref="B320:BM320" si="101">B95</f>
        <v>Gov - Total Assets and deferred outflows</v>
      </c>
      <c r="C320" s="559">
        <f t="shared" si="101"/>
        <v>0</v>
      </c>
      <c r="D320" s="559">
        <f t="shared" si="101"/>
        <v>0</v>
      </c>
      <c r="E320" s="559">
        <f t="shared" si="101"/>
        <v>4769208</v>
      </c>
      <c r="F320" s="559">
        <f t="shared" si="101"/>
        <v>2809872</v>
      </c>
      <c r="G320" s="559">
        <f t="shared" si="101"/>
        <v>2229937</v>
      </c>
      <c r="H320" s="559">
        <f t="shared" si="101"/>
        <v>2180867</v>
      </c>
      <c r="I320" s="559">
        <f t="shared" si="101"/>
        <v>887358</v>
      </c>
      <c r="J320" s="559">
        <f t="shared" si="101"/>
        <v>194230</v>
      </c>
      <c r="K320" s="559">
        <f t="shared" si="101"/>
        <v>841218</v>
      </c>
      <c r="L320" s="559">
        <f t="shared" si="101"/>
        <v>19658743</v>
      </c>
      <c r="M320" s="559">
        <f t="shared" si="101"/>
        <v>755227114</v>
      </c>
      <c r="N320" s="559">
        <f t="shared" si="101"/>
        <v>8245579</v>
      </c>
      <c r="O320" s="559">
        <f t="shared" si="101"/>
        <v>32730017</v>
      </c>
      <c r="P320" s="559">
        <f t="shared" si="101"/>
        <v>978467</v>
      </c>
      <c r="Q320" s="559">
        <f t="shared" si="101"/>
        <v>42460523</v>
      </c>
      <c r="R320" s="559">
        <f t="shared" si="101"/>
        <v>430098</v>
      </c>
      <c r="S320" s="559">
        <f t="shared" si="101"/>
        <v>1244214</v>
      </c>
      <c r="T320" s="559">
        <f t="shared" si="101"/>
        <v>5505118</v>
      </c>
      <c r="U320" s="559">
        <f t="shared" si="101"/>
        <v>4375638</v>
      </c>
      <c r="V320" s="559">
        <f t="shared" si="101"/>
        <v>17960949</v>
      </c>
      <c r="W320" s="559">
        <f t="shared" si="101"/>
        <v>4528287</v>
      </c>
      <c r="X320" s="559">
        <f t="shared" si="101"/>
        <v>2118430</v>
      </c>
      <c r="Y320" s="559">
        <f t="shared" si="101"/>
        <v>1946645</v>
      </c>
      <c r="Z320" s="559">
        <f t="shared" si="101"/>
        <v>325203326</v>
      </c>
      <c r="AA320" s="559">
        <f t="shared" si="101"/>
        <v>10881897</v>
      </c>
      <c r="AB320" s="559">
        <f t="shared" si="101"/>
        <v>1906549</v>
      </c>
      <c r="AC320" s="559">
        <f t="shared" si="101"/>
        <v>188584211</v>
      </c>
      <c r="AD320" s="559">
        <f t="shared" si="101"/>
        <v>3365049</v>
      </c>
      <c r="AE320" s="559">
        <f t="shared" si="101"/>
        <v>0</v>
      </c>
      <c r="AF320" s="559">
        <f t="shared" si="101"/>
        <v>347780542</v>
      </c>
      <c r="AG320" s="559">
        <f t="shared" si="101"/>
        <v>1506487</v>
      </c>
      <c r="AH320" s="559">
        <f t="shared" si="101"/>
        <v>746315</v>
      </c>
      <c r="AI320" s="559">
        <f t="shared" si="101"/>
        <v>16221347</v>
      </c>
      <c r="AJ320" s="559">
        <f t="shared" si="101"/>
        <v>2723495</v>
      </c>
      <c r="AK320" s="559">
        <f t="shared" si="101"/>
        <v>858435</v>
      </c>
      <c r="AL320" s="559">
        <f t="shared" si="101"/>
        <v>128817324</v>
      </c>
      <c r="AM320" s="559">
        <f t="shared" si="101"/>
        <v>1550706</v>
      </c>
      <c r="AN320" s="559">
        <f t="shared" si="101"/>
        <v>49717065</v>
      </c>
      <c r="AO320" s="559">
        <f t="shared" si="101"/>
        <v>181220</v>
      </c>
      <c r="AP320" s="559">
        <f t="shared" si="101"/>
        <v>14567807</v>
      </c>
      <c r="AQ320" s="559">
        <f t="shared" si="101"/>
        <v>8216404</v>
      </c>
      <c r="AR320" s="559">
        <f t="shared" si="101"/>
        <v>609340</v>
      </c>
      <c r="AS320" s="559">
        <f t="shared" si="101"/>
        <v>6878456</v>
      </c>
      <c r="AT320" s="559">
        <f t="shared" si="101"/>
        <v>1645298</v>
      </c>
      <c r="AU320" s="559">
        <f t="shared" si="101"/>
        <v>1168749359</v>
      </c>
      <c r="AV320" s="559">
        <f t="shared" si="101"/>
        <v>445297112</v>
      </c>
      <c r="AW320" s="559">
        <f t="shared" si="101"/>
        <v>4876578</v>
      </c>
      <c r="AX320" s="559">
        <f t="shared" si="101"/>
        <v>956859</v>
      </c>
      <c r="AY320" s="559">
        <f t="shared" si="101"/>
        <v>876996</v>
      </c>
      <c r="AZ320" s="559">
        <f t="shared" si="101"/>
        <v>0</v>
      </c>
      <c r="BA320" s="559">
        <f t="shared" si="101"/>
        <v>1510491</v>
      </c>
      <c r="BB320" s="559">
        <f t="shared" si="101"/>
        <v>15955653</v>
      </c>
      <c r="BC320" s="559">
        <f t="shared" si="101"/>
        <v>2092416</v>
      </c>
      <c r="BD320" s="559">
        <f t="shared" si="101"/>
        <v>535677</v>
      </c>
      <c r="BE320" s="559">
        <f t="shared" si="101"/>
        <v>213492</v>
      </c>
      <c r="BF320" s="559">
        <f t="shared" si="101"/>
        <v>89162849</v>
      </c>
      <c r="BG320" s="559">
        <f t="shared" si="101"/>
        <v>135456</v>
      </c>
      <c r="BH320" s="559">
        <f t="shared" si="101"/>
        <v>42421766</v>
      </c>
      <c r="BI320" s="559">
        <f t="shared" si="101"/>
        <v>9680585</v>
      </c>
      <c r="BJ320" s="559">
        <f t="shared" si="101"/>
        <v>1361750</v>
      </c>
      <c r="BK320" s="559">
        <f t="shared" si="101"/>
        <v>771950</v>
      </c>
      <c r="BL320" s="559">
        <f t="shared" si="101"/>
        <v>43716516</v>
      </c>
      <c r="BM320" s="559">
        <f t="shared" si="101"/>
        <v>90735898</v>
      </c>
      <c r="BN320" s="559">
        <f t="shared" ref="BN320:BR320" si="102">BN95</f>
        <v>4815360</v>
      </c>
      <c r="BO320" s="559">
        <f t="shared" si="102"/>
        <v>293953189</v>
      </c>
      <c r="BP320" s="559">
        <f t="shared" si="102"/>
        <v>461952991</v>
      </c>
      <c r="BQ320" s="559">
        <f t="shared" si="102"/>
        <v>1382637</v>
      </c>
      <c r="BR320" s="559">
        <f t="shared" si="102"/>
        <v>44741797</v>
      </c>
      <c r="BS320" s="559">
        <f t="shared" ref="BS320:CD320" si="103">BS95</f>
        <v>7198061</v>
      </c>
      <c r="BT320" s="559">
        <f t="shared" si="103"/>
        <v>45010698</v>
      </c>
      <c r="BU320" s="559">
        <f t="shared" si="103"/>
        <v>1893653</v>
      </c>
      <c r="BV320" s="559">
        <f t="shared" si="103"/>
        <v>1607511</v>
      </c>
      <c r="BW320" s="559">
        <f t="shared" si="103"/>
        <v>27583534</v>
      </c>
      <c r="BX320" s="559">
        <f t="shared" si="103"/>
        <v>9950377</v>
      </c>
      <c r="BY320" s="559">
        <f t="shared" si="103"/>
        <v>299567961</v>
      </c>
      <c r="BZ320" s="559">
        <f t="shared" si="103"/>
        <v>1686053</v>
      </c>
      <c r="CA320" s="559">
        <f t="shared" si="103"/>
        <v>62237993</v>
      </c>
      <c r="CB320" s="559">
        <f t="shared" si="103"/>
        <v>1905935</v>
      </c>
      <c r="CC320" s="559">
        <f t="shared" si="103"/>
        <v>9866075</v>
      </c>
      <c r="CD320" s="559">
        <f t="shared" si="103"/>
        <v>248319453</v>
      </c>
      <c r="CE320" s="564"/>
      <c r="CF320" s="564"/>
      <c r="CG320" s="564"/>
      <c r="CH320" s="564"/>
      <c r="CI320" s="564"/>
      <c r="CJ320" s="564"/>
      <c r="CK320" s="564"/>
      <c r="CL320" s="564"/>
      <c r="CM320" s="564"/>
      <c r="CN320" s="564"/>
      <c r="CO320" s="564"/>
      <c r="CP320" s="564"/>
      <c r="CQ320" s="564"/>
      <c r="CR320" s="564"/>
      <c r="CS320" s="564"/>
      <c r="CT320" s="564"/>
      <c r="CU320" s="564"/>
      <c r="CV320" s="564"/>
      <c r="CW320" s="564"/>
      <c r="CX320" s="564"/>
      <c r="CY320" s="564"/>
      <c r="CZ320" s="564"/>
    </row>
    <row r="321" spans="1:104" s="180" customFormat="1" x14ac:dyDescent="0.3">
      <c r="A321" s="559">
        <f>A170</f>
        <v>626</v>
      </c>
      <c r="B321" s="559" t="str">
        <f t="shared" ref="B321:BM321" si="104">B170</f>
        <v>GW - Total Current Liabilities including current portion of long-term debt</v>
      </c>
      <c r="C321" s="559">
        <f t="shared" si="104"/>
        <v>0</v>
      </c>
      <c r="D321" s="559">
        <f t="shared" si="104"/>
        <v>0</v>
      </c>
      <c r="E321" s="559">
        <f t="shared" si="104"/>
        <v>166824</v>
      </c>
      <c r="F321" s="559">
        <f t="shared" si="104"/>
        <v>60072</v>
      </c>
      <c r="G321" s="559">
        <f t="shared" si="104"/>
        <v>64347</v>
      </c>
      <c r="H321" s="559">
        <f t="shared" si="104"/>
        <v>130716</v>
      </c>
      <c r="I321" s="559">
        <f t="shared" si="104"/>
        <v>3569</v>
      </c>
      <c r="J321" s="559">
        <f t="shared" si="104"/>
        <v>1128</v>
      </c>
      <c r="K321" s="559">
        <f t="shared" si="104"/>
        <v>170563</v>
      </c>
      <c r="L321" s="559">
        <f t="shared" si="104"/>
        <v>979127</v>
      </c>
      <c r="M321" s="559">
        <f t="shared" si="104"/>
        <v>79873021</v>
      </c>
      <c r="N321" s="559">
        <f t="shared" si="104"/>
        <v>300518</v>
      </c>
      <c r="O321" s="559">
        <f t="shared" si="104"/>
        <v>789418</v>
      </c>
      <c r="P321" s="559">
        <f t="shared" si="104"/>
        <v>12814</v>
      </c>
      <c r="Q321" s="559">
        <f t="shared" si="104"/>
        <v>6831579</v>
      </c>
      <c r="R321" s="559">
        <f t="shared" si="104"/>
        <v>58317</v>
      </c>
      <c r="S321" s="559">
        <f t="shared" si="104"/>
        <v>160071</v>
      </c>
      <c r="T321" s="559">
        <f t="shared" si="104"/>
        <v>1276378</v>
      </c>
      <c r="U321" s="559">
        <f t="shared" si="104"/>
        <v>49200</v>
      </c>
      <c r="V321" s="559">
        <f t="shared" si="104"/>
        <v>1497278</v>
      </c>
      <c r="W321" s="559">
        <f t="shared" si="104"/>
        <v>50097</v>
      </c>
      <c r="X321" s="559">
        <f t="shared" si="104"/>
        <v>25507</v>
      </c>
      <c r="Y321" s="559">
        <f t="shared" si="104"/>
        <v>169378</v>
      </c>
      <c r="Z321" s="559">
        <f t="shared" si="104"/>
        <v>7771425</v>
      </c>
      <c r="AA321" s="559">
        <f t="shared" si="104"/>
        <v>639524</v>
      </c>
      <c r="AB321" s="559">
        <f t="shared" si="104"/>
        <v>14615</v>
      </c>
      <c r="AC321" s="559">
        <f t="shared" si="104"/>
        <v>7419583</v>
      </c>
      <c r="AD321" s="559">
        <f t="shared" si="104"/>
        <v>0</v>
      </c>
      <c r="AE321" s="559">
        <f t="shared" si="104"/>
        <v>0</v>
      </c>
      <c r="AF321" s="559">
        <f t="shared" si="104"/>
        <v>37428090</v>
      </c>
      <c r="AG321" s="559">
        <f t="shared" si="104"/>
        <v>31265</v>
      </c>
      <c r="AH321" s="559">
        <f t="shared" si="104"/>
        <v>3362</v>
      </c>
      <c r="AI321" s="559">
        <f t="shared" si="104"/>
        <v>1096224</v>
      </c>
      <c r="AJ321" s="559">
        <f t="shared" si="104"/>
        <v>68018</v>
      </c>
      <c r="AK321" s="559">
        <f t="shared" si="104"/>
        <v>46065</v>
      </c>
      <c r="AL321" s="559">
        <f t="shared" si="104"/>
        <v>6896760</v>
      </c>
      <c r="AM321" s="559">
        <f t="shared" si="104"/>
        <v>3917</v>
      </c>
      <c r="AN321" s="559">
        <f t="shared" si="104"/>
        <v>5488674</v>
      </c>
      <c r="AO321" s="559">
        <f t="shared" si="104"/>
        <v>9518</v>
      </c>
      <c r="AP321" s="559">
        <f t="shared" si="104"/>
        <v>370178</v>
      </c>
      <c r="AQ321" s="559">
        <f t="shared" si="104"/>
        <v>56246</v>
      </c>
      <c r="AR321" s="559">
        <f t="shared" si="104"/>
        <v>52386</v>
      </c>
      <c r="AS321" s="559">
        <f t="shared" si="104"/>
        <v>248646</v>
      </c>
      <c r="AT321" s="559">
        <f t="shared" si="104"/>
        <v>387463</v>
      </c>
      <c r="AU321" s="559">
        <f t="shared" si="104"/>
        <v>114082210</v>
      </c>
      <c r="AV321" s="559">
        <f t="shared" si="104"/>
        <v>40583702</v>
      </c>
      <c r="AW321" s="559">
        <f t="shared" si="104"/>
        <v>949658</v>
      </c>
      <c r="AX321" s="559">
        <f t="shared" si="104"/>
        <v>42980</v>
      </c>
      <c r="AY321" s="559">
        <f t="shared" si="104"/>
        <v>19415</v>
      </c>
      <c r="AZ321" s="559">
        <f t="shared" si="104"/>
        <v>0</v>
      </c>
      <c r="BA321" s="559">
        <f t="shared" si="104"/>
        <v>681</v>
      </c>
      <c r="BB321" s="559">
        <f t="shared" si="104"/>
        <v>1480943</v>
      </c>
      <c r="BC321" s="559">
        <f t="shared" si="104"/>
        <v>6927</v>
      </c>
      <c r="BD321" s="559">
        <f t="shared" si="104"/>
        <v>70988</v>
      </c>
      <c r="BE321" s="559">
        <f t="shared" si="104"/>
        <v>3414</v>
      </c>
      <c r="BF321" s="559">
        <f t="shared" si="104"/>
        <v>7409389</v>
      </c>
      <c r="BG321" s="559">
        <f t="shared" si="104"/>
        <v>0</v>
      </c>
      <c r="BH321" s="559">
        <f t="shared" si="104"/>
        <v>6171595</v>
      </c>
      <c r="BI321" s="559">
        <f t="shared" si="104"/>
        <v>1062125</v>
      </c>
      <c r="BJ321" s="559">
        <f t="shared" si="104"/>
        <v>97657</v>
      </c>
      <c r="BK321" s="559">
        <f t="shared" si="104"/>
        <v>50410</v>
      </c>
      <c r="BL321" s="559">
        <f t="shared" si="104"/>
        <v>3136090</v>
      </c>
      <c r="BM321" s="559">
        <f t="shared" si="104"/>
        <v>2525553</v>
      </c>
      <c r="BN321" s="559">
        <f t="shared" ref="BN321:BR321" si="105">BN170</f>
        <v>899287</v>
      </c>
      <c r="BO321" s="559">
        <f t="shared" si="105"/>
        <v>15714393</v>
      </c>
      <c r="BP321" s="559">
        <f t="shared" si="105"/>
        <v>54025985</v>
      </c>
      <c r="BQ321" s="559">
        <f t="shared" si="105"/>
        <v>6551</v>
      </c>
      <c r="BR321" s="559">
        <f t="shared" si="105"/>
        <v>1270868</v>
      </c>
      <c r="BS321" s="559">
        <f t="shared" ref="BS321:CD321" si="106">BS170</f>
        <v>422685</v>
      </c>
      <c r="BT321" s="559">
        <f t="shared" si="106"/>
        <v>1398355</v>
      </c>
      <c r="BU321" s="559">
        <f t="shared" si="106"/>
        <v>347724</v>
      </c>
      <c r="BV321" s="559">
        <f t="shared" si="106"/>
        <v>123968</v>
      </c>
      <c r="BW321" s="559">
        <f t="shared" si="106"/>
        <v>2303000</v>
      </c>
      <c r="BX321" s="559">
        <f t="shared" si="106"/>
        <v>1255630</v>
      </c>
      <c r="BY321" s="559">
        <f t="shared" si="106"/>
        <v>22830953</v>
      </c>
      <c r="BZ321" s="559">
        <f t="shared" si="106"/>
        <v>208115</v>
      </c>
      <c r="CA321" s="559">
        <f t="shared" si="106"/>
        <v>25152957</v>
      </c>
      <c r="CB321" s="559">
        <f t="shared" si="106"/>
        <v>72983</v>
      </c>
      <c r="CC321" s="559">
        <f t="shared" si="106"/>
        <v>494454</v>
      </c>
      <c r="CD321" s="559">
        <f t="shared" si="106"/>
        <v>27445035</v>
      </c>
      <c r="CE321" s="564"/>
      <c r="CF321" s="564"/>
      <c r="CG321" s="564"/>
      <c r="CH321" s="564"/>
      <c r="CI321" s="564"/>
      <c r="CJ321" s="564"/>
      <c r="CK321" s="564"/>
      <c r="CL321" s="564"/>
      <c r="CM321" s="564"/>
      <c r="CN321" s="564"/>
      <c r="CO321" s="564"/>
      <c r="CP321" s="564"/>
      <c r="CQ321" s="564"/>
      <c r="CR321" s="564"/>
      <c r="CS321" s="564"/>
      <c r="CT321" s="564"/>
      <c r="CU321" s="564"/>
      <c r="CV321" s="564"/>
      <c r="CW321" s="564"/>
      <c r="CX321" s="564"/>
      <c r="CY321" s="564"/>
      <c r="CZ321" s="564"/>
    </row>
    <row r="322" spans="1:104" s="558" customFormat="1" x14ac:dyDescent="0.3">
      <c r="A322" s="559">
        <f>A60</f>
        <v>338</v>
      </c>
      <c r="B322" s="559" t="str">
        <f t="shared" ref="B322:BM322" si="107">B60</f>
        <v>Gov - Total Liabilities and total deferred inflows</v>
      </c>
      <c r="C322" s="559">
        <f t="shared" si="107"/>
        <v>0</v>
      </c>
      <c r="D322" s="559">
        <f t="shared" si="107"/>
        <v>0</v>
      </c>
      <c r="E322" s="559">
        <f t="shared" si="107"/>
        <v>3360383</v>
      </c>
      <c r="F322" s="559">
        <f t="shared" si="107"/>
        <v>500091</v>
      </c>
      <c r="G322" s="559">
        <f t="shared" si="107"/>
        <v>450076</v>
      </c>
      <c r="H322" s="559">
        <f t="shared" si="107"/>
        <v>357057</v>
      </c>
      <c r="I322" s="559">
        <f t="shared" si="107"/>
        <v>11387</v>
      </c>
      <c r="J322" s="559">
        <f t="shared" si="107"/>
        <v>1128</v>
      </c>
      <c r="K322" s="559">
        <f t="shared" si="107"/>
        <v>170563</v>
      </c>
      <c r="L322" s="559">
        <f t="shared" si="107"/>
        <v>10603983</v>
      </c>
      <c r="M322" s="559">
        <f t="shared" si="107"/>
        <v>323580934</v>
      </c>
      <c r="N322" s="559">
        <f t="shared" si="107"/>
        <v>431319</v>
      </c>
      <c r="O322" s="559">
        <f t="shared" si="107"/>
        <v>9857230</v>
      </c>
      <c r="P322" s="559">
        <f t="shared" si="107"/>
        <v>12814</v>
      </c>
      <c r="Q322" s="559">
        <f t="shared" si="107"/>
        <v>23375166</v>
      </c>
      <c r="R322" s="559">
        <f t="shared" si="107"/>
        <v>58317</v>
      </c>
      <c r="S322" s="559">
        <f t="shared" si="107"/>
        <v>293069</v>
      </c>
      <c r="T322" s="559">
        <f t="shared" si="107"/>
        <v>2796760</v>
      </c>
      <c r="U322" s="559">
        <f t="shared" si="107"/>
        <v>359031</v>
      </c>
      <c r="V322" s="559">
        <f t="shared" si="107"/>
        <v>6041952</v>
      </c>
      <c r="W322" s="559">
        <f t="shared" si="107"/>
        <v>1445174</v>
      </c>
      <c r="X322" s="559">
        <f t="shared" si="107"/>
        <v>366874</v>
      </c>
      <c r="Y322" s="559">
        <f t="shared" si="107"/>
        <v>1445917</v>
      </c>
      <c r="Z322" s="559">
        <f t="shared" si="107"/>
        <v>93728074</v>
      </c>
      <c r="AA322" s="559">
        <f t="shared" si="107"/>
        <v>639524</v>
      </c>
      <c r="AB322" s="559">
        <f t="shared" si="107"/>
        <v>67913</v>
      </c>
      <c r="AC322" s="559">
        <f t="shared" si="107"/>
        <v>105607811</v>
      </c>
      <c r="AD322" s="559">
        <f t="shared" si="107"/>
        <v>0</v>
      </c>
      <c r="AE322" s="559">
        <f t="shared" si="107"/>
        <v>0</v>
      </c>
      <c r="AF322" s="559">
        <f t="shared" si="107"/>
        <v>239302745</v>
      </c>
      <c r="AG322" s="559">
        <f t="shared" si="107"/>
        <v>31265</v>
      </c>
      <c r="AH322" s="559">
        <f t="shared" si="107"/>
        <v>150008</v>
      </c>
      <c r="AI322" s="559">
        <f t="shared" si="107"/>
        <v>7502687</v>
      </c>
      <c r="AJ322" s="559">
        <f t="shared" si="107"/>
        <v>372465</v>
      </c>
      <c r="AK322" s="559">
        <f t="shared" si="107"/>
        <v>46065</v>
      </c>
      <c r="AL322" s="559">
        <f t="shared" si="107"/>
        <v>59875377</v>
      </c>
      <c r="AM322" s="559">
        <f t="shared" si="107"/>
        <v>22892</v>
      </c>
      <c r="AN322" s="559">
        <f t="shared" si="107"/>
        <v>26397254</v>
      </c>
      <c r="AO322" s="559">
        <f t="shared" si="107"/>
        <v>9518</v>
      </c>
      <c r="AP322" s="559">
        <f t="shared" si="107"/>
        <v>2475734</v>
      </c>
      <c r="AQ322" s="559">
        <f t="shared" si="107"/>
        <v>1307498</v>
      </c>
      <c r="AR322" s="559">
        <f t="shared" si="107"/>
        <v>52386</v>
      </c>
      <c r="AS322" s="559">
        <f t="shared" si="107"/>
        <v>1955995</v>
      </c>
      <c r="AT322" s="559">
        <f t="shared" si="107"/>
        <v>567260</v>
      </c>
      <c r="AU322" s="559">
        <f t="shared" si="107"/>
        <v>779317580</v>
      </c>
      <c r="AV322" s="559">
        <f t="shared" si="107"/>
        <v>213417696</v>
      </c>
      <c r="AW322" s="559">
        <f t="shared" si="107"/>
        <v>2533177</v>
      </c>
      <c r="AX322" s="559">
        <f t="shared" si="107"/>
        <v>157366</v>
      </c>
      <c r="AY322" s="559">
        <f t="shared" si="107"/>
        <v>78368</v>
      </c>
      <c r="AZ322" s="559">
        <f t="shared" si="107"/>
        <v>0</v>
      </c>
      <c r="BA322" s="559">
        <f t="shared" si="107"/>
        <v>60527</v>
      </c>
      <c r="BB322" s="559">
        <f t="shared" si="107"/>
        <v>12283773</v>
      </c>
      <c r="BC322" s="559">
        <f t="shared" si="107"/>
        <v>6927</v>
      </c>
      <c r="BD322" s="559">
        <f t="shared" si="107"/>
        <v>71588</v>
      </c>
      <c r="BE322" s="559">
        <f t="shared" si="107"/>
        <v>3414</v>
      </c>
      <c r="BF322" s="559">
        <f t="shared" si="107"/>
        <v>28008839</v>
      </c>
      <c r="BG322" s="559">
        <f t="shared" si="107"/>
        <v>0</v>
      </c>
      <c r="BH322" s="559">
        <f t="shared" si="107"/>
        <v>20251679</v>
      </c>
      <c r="BI322" s="559">
        <f t="shared" si="107"/>
        <v>8098872</v>
      </c>
      <c r="BJ322" s="559">
        <f t="shared" si="107"/>
        <v>102784</v>
      </c>
      <c r="BK322" s="559">
        <f t="shared" si="107"/>
        <v>50410</v>
      </c>
      <c r="BL322" s="559">
        <f t="shared" si="107"/>
        <v>25154844</v>
      </c>
      <c r="BM322" s="559">
        <f t="shared" si="107"/>
        <v>58235740</v>
      </c>
      <c r="BN322" s="559">
        <f t="shared" ref="BN322:BR322" si="108">BN60</f>
        <v>1683006</v>
      </c>
      <c r="BO322" s="559">
        <f t="shared" si="108"/>
        <v>133809306</v>
      </c>
      <c r="BP322" s="559">
        <f t="shared" si="108"/>
        <v>250773405</v>
      </c>
      <c r="BQ322" s="559">
        <f t="shared" si="108"/>
        <v>9792</v>
      </c>
      <c r="BR322" s="559">
        <f t="shared" si="108"/>
        <v>22544625</v>
      </c>
      <c r="BS322" s="559">
        <f t="shared" ref="BS322:CD322" si="109">BS60</f>
        <v>621190</v>
      </c>
      <c r="BT322" s="559">
        <f t="shared" si="109"/>
        <v>10134614</v>
      </c>
      <c r="BU322" s="559">
        <f t="shared" si="109"/>
        <v>423953</v>
      </c>
      <c r="BV322" s="559">
        <f t="shared" si="109"/>
        <v>124556</v>
      </c>
      <c r="BW322" s="559">
        <f t="shared" si="109"/>
        <v>10956400</v>
      </c>
      <c r="BX322" s="559">
        <f t="shared" si="109"/>
        <v>3298240</v>
      </c>
      <c r="BY322" s="559">
        <f t="shared" si="109"/>
        <v>118886981</v>
      </c>
      <c r="BZ322" s="559">
        <f t="shared" si="109"/>
        <v>265343</v>
      </c>
      <c r="CA322" s="559">
        <f t="shared" si="109"/>
        <v>46993771</v>
      </c>
      <c r="CB322" s="559">
        <f t="shared" si="109"/>
        <v>242685</v>
      </c>
      <c r="CC322" s="559">
        <f t="shared" si="109"/>
        <v>2657411</v>
      </c>
      <c r="CD322" s="559">
        <f t="shared" si="109"/>
        <v>84378183</v>
      </c>
    </row>
    <row r="323" spans="1:104" s="558" customFormat="1" x14ac:dyDescent="0.3">
      <c r="A323" s="563">
        <f>A166</f>
        <v>620</v>
      </c>
      <c r="B323" s="563" t="str">
        <f t="shared" ref="B323:BM323" si="110">B166</f>
        <v>Do you expect to issue debt requiring LGC approval within 12 months from the date that the audit is submitted - select "1" for year and "2" for no</v>
      </c>
      <c r="C323" s="563">
        <f t="shared" si="110"/>
        <v>0</v>
      </c>
      <c r="D323" s="563">
        <f t="shared" si="110"/>
        <v>0</v>
      </c>
      <c r="E323" s="563">
        <f t="shared" si="110"/>
        <v>2</v>
      </c>
      <c r="F323" s="563">
        <f t="shared" si="110"/>
        <v>2</v>
      </c>
      <c r="G323" s="563">
        <f t="shared" si="110"/>
        <v>2</v>
      </c>
      <c r="H323" s="563">
        <f t="shared" si="110"/>
        <v>1</v>
      </c>
      <c r="I323" s="563">
        <f t="shared" si="110"/>
        <v>2</v>
      </c>
      <c r="J323" s="563">
        <f t="shared" si="110"/>
        <v>2</v>
      </c>
      <c r="K323" s="563">
        <f t="shared" si="110"/>
        <v>2</v>
      </c>
      <c r="L323" s="563">
        <f t="shared" si="110"/>
        <v>2</v>
      </c>
      <c r="M323" s="563">
        <f t="shared" si="110"/>
        <v>1</v>
      </c>
      <c r="N323" s="563">
        <f t="shared" si="110"/>
        <v>2</v>
      </c>
      <c r="O323" s="563">
        <f t="shared" si="110"/>
        <v>2</v>
      </c>
      <c r="P323" s="563">
        <f t="shared" si="110"/>
        <v>2</v>
      </c>
      <c r="Q323" s="563">
        <f t="shared" si="110"/>
        <v>2</v>
      </c>
      <c r="R323" s="563">
        <f t="shared" si="110"/>
        <v>2</v>
      </c>
      <c r="S323" s="563">
        <f t="shared" si="110"/>
        <v>2</v>
      </c>
      <c r="T323" s="563">
        <f t="shared" si="110"/>
        <v>2</v>
      </c>
      <c r="U323" s="563">
        <f t="shared" si="110"/>
        <v>2</v>
      </c>
      <c r="V323" s="563">
        <f t="shared" si="110"/>
        <v>2</v>
      </c>
      <c r="W323" s="563">
        <f t="shared" si="110"/>
        <v>2</v>
      </c>
      <c r="X323" s="563">
        <f t="shared" si="110"/>
        <v>2</v>
      </c>
      <c r="Y323" s="563">
        <f t="shared" si="110"/>
        <v>2</v>
      </c>
      <c r="Z323" s="563">
        <f t="shared" si="110"/>
        <v>1</v>
      </c>
      <c r="AA323" s="563">
        <f t="shared" si="110"/>
        <v>2</v>
      </c>
      <c r="AB323" s="563">
        <f t="shared" si="110"/>
        <v>2</v>
      </c>
      <c r="AC323" s="563">
        <f t="shared" si="110"/>
        <v>2</v>
      </c>
      <c r="AD323" s="563">
        <f t="shared" si="110"/>
        <v>2</v>
      </c>
      <c r="AE323" s="563">
        <f t="shared" si="110"/>
        <v>0</v>
      </c>
      <c r="AF323" s="563">
        <f t="shared" si="110"/>
        <v>1</v>
      </c>
      <c r="AG323" s="563">
        <f t="shared" si="110"/>
        <v>2</v>
      </c>
      <c r="AH323" s="563">
        <f t="shared" si="110"/>
        <v>2</v>
      </c>
      <c r="AI323" s="563">
        <f t="shared" si="110"/>
        <v>2</v>
      </c>
      <c r="AJ323" s="563">
        <f t="shared" si="110"/>
        <v>2</v>
      </c>
      <c r="AK323" s="563">
        <f t="shared" si="110"/>
        <v>2</v>
      </c>
      <c r="AL323" s="563">
        <f t="shared" si="110"/>
        <v>1</v>
      </c>
      <c r="AM323" s="563">
        <f t="shared" si="110"/>
        <v>2</v>
      </c>
      <c r="AN323" s="563">
        <f t="shared" si="110"/>
        <v>2</v>
      </c>
      <c r="AO323" s="563">
        <f t="shared" si="110"/>
        <v>2</v>
      </c>
      <c r="AP323" s="563">
        <f t="shared" si="110"/>
        <v>2</v>
      </c>
      <c r="AQ323" s="563">
        <f t="shared" si="110"/>
        <v>1</v>
      </c>
      <c r="AR323" s="563">
        <f t="shared" si="110"/>
        <v>2</v>
      </c>
      <c r="AS323" s="563">
        <f t="shared" si="110"/>
        <v>2</v>
      </c>
      <c r="AT323" s="563">
        <f t="shared" si="110"/>
        <v>2</v>
      </c>
      <c r="AU323" s="563">
        <f t="shared" si="110"/>
        <v>1</v>
      </c>
      <c r="AV323" s="563">
        <f t="shared" si="110"/>
        <v>2</v>
      </c>
      <c r="AW323" s="563">
        <f t="shared" si="110"/>
        <v>2</v>
      </c>
      <c r="AX323" s="563">
        <f t="shared" si="110"/>
        <v>2</v>
      </c>
      <c r="AY323" s="563">
        <f t="shared" si="110"/>
        <v>2</v>
      </c>
      <c r="AZ323" s="563">
        <f t="shared" si="110"/>
        <v>0</v>
      </c>
      <c r="BA323" s="563">
        <f t="shared" si="110"/>
        <v>2</v>
      </c>
      <c r="BB323" s="563">
        <f t="shared" si="110"/>
        <v>2</v>
      </c>
      <c r="BC323" s="563">
        <f t="shared" si="110"/>
        <v>2</v>
      </c>
      <c r="BD323" s="563">
        <f t="shared" si="110"/>
        <v>2</v>
      </c>
      <c r="BE323" s="563">
        <f t="shared" si="110"/>
        <v>2</v>
      </c>
      <c r="BF323" s="563">
        <f t="shared" si="110"/>
        <v>1</v>
      </c>
      <c r="BG323" s="563">
        <f t="shared" si="110"/>
        <v>2</v>
      </c>
      <c r="BH323" s="563">
        <f t="shared" si="110"/>
        <v>2</v>
      </c>
      <c r="BI323" s="563">
        <f t="shared" si="110"/>
        <v>2</v>
      </c>
      <c r="BJ323" s="563">
        <f t="shared" si="110"/>
        <v>2</v>
      </c>
      <c r="BK323" s="563">
        <f t="shared" si="110"/>
        <v>2</v>
      </c>
      <c r="BL323" s="563">
        <f t="shared" si="110"/>
        <v>2</v>
      </c>
      <c r="BM323" s="563">
        <f t="shared" si="110"/>
        <v>2</v>
      </c>
      <c r="BN323" s="563">
        <f t="shared" ref="BN323:BR323" si="111">BN166</f>
        <v>2</v>
      </c>
      <c r="BO323" s="563">
        <f t="shared" si="111"/>
        <v>1</v>
      </c>
      <c r="BP323" s="563">
        <f t="shared" si="111"/>
        <v>2</v>
      </c>
      <c r="BQ323" s="563">
        <f t="shared" si="111"/>
        <v>2</v>
      </c>
      <c r="BR323" s="563">
        <f t="shared" si="111"/>
        <v>2</v>
      </c>
      <c r="BS323" s="563">
        <f t="shared" ref="BS323:CD323" si="112">BS166</f>
        <v>2</v>
      </c>
      <c r="BT323" s="563">
        <f t="shared" si="112"/>
        <v>2</v>
      </c>
      <c r="BU323" s="563">
        <f t="shared" si="112"/>
        <v>2</v>
      </c>
      <c r="BV323" s="563">
        <f t="shared" si="112"/>
        <v>2</v>
      </c>
      <c r="BW323" s="563">
        <f t="shared" si="112"/>
        <v>2</v>
      </c>
      <c r="BX323" s="563">
        <f t="shared" si="112"/>
        <v>2</v>
      </c>
      <c r="BY323" s="563">
        <f t="shared" si="112"/>
        <v>1</v>
      </c>
      <c r="BZ323" s="563">
        <f t="shared" si="112"/>
        <v>2</v>
      </c>
      <c r="CA323" s="563">
        <f t="shared" si="112"/>
        <v>2</v>
      </c>
      <c r="CB323" s="563">
        <f t="shared" si="112"/>
        <v>2</v>
      </c>
      <c r="CC323" s="563">
        <f t="shared" si="112"/>
        <v>2</v>
      </c>
      <c r="CD323" s="563">
        <f t="shared" si="112"/>
        <v>2</v>
      </c>
    </row>
    <row r="324" spans="1:104" s="558" customFormat="1" x14ac:dyDescent="0.3">
      <c r="A324" s="155">
        <f>A142</f>
        <v>545</v>
      </c>
      <c r="B324" s="155" t="str">
        <f t="shared" ref="B324:BM324" si="113">B142</f>
        <v>Property Tax Increase for budget year after fiscal year being reported</v>
      </c>
      <c r="C324" s="155">
        <f t="shared" si="113"/>
        <v>0</v>
      </c>
      <c r="D324" s="155">
        <f t="shared" si="113"/>
        <v>0</v>
      </c>
      <c r="E324" s="155">
        <f t="shared" si="113"/>
        <v>0</v>
      </c>
      <c r="F324" s="155">
        <f t="shared" si="113"/>
        <v>0</v>
      </c>
      <c r="G324" s="155">
        <f t="shared" si="113"/>
        <v>0</v>
      </c>
      <c r="H324" s="155">
        <f t="shared" si="113"/>
        <v>0</v>
      </c>
      <c r="I324" s="155">
        <f t="shared" si="113"/>
        <v>0</v>
      </c>
      <c r="J324" s="155">
        <f t="shared" si="113"/>
        <v>0</v>
      </c>
      <c r="K324" s="155">
        <f t="shared" si="113"/>
        <v>0</v>
      </c>
      <c r="L324" s="155">
        <f t="shared" si="113"/>
        <v>0</v>
      </c>
      <c r="M324" s="155">
        <f t="shared" si="113"/>
        <v>0</v>
      </c>
      <c r="N324" s="155">
        <f t="shared" si="113"/>
        <v>0</v>
      </c>
      <c r="O324" s="155">
        <f t="shared" si="113"/>
        <v>0</v>
      </c>
      <c r="P324" s="155">
        <f t="shared" si="113"/>
        <v>0</v>
      </c>
      <c r="Q324" s="155">
        <f t="shared" si="113"/>
        <v>0</v>
      </c>
      <c r="R324" s="155">
        <f t="shared" si="113"/>
        <v>0</v>
      </c>
      <c r="S324" s="155">
        <f t="shared" si="113"/>
        <v>0</v>
      </c>
      <c r="T324" s="155">
        <f t="shared" si="113"/>
        <v>0</v>
      </c>
      <c r="U324" s="155">
        <f t="shared" si="113"/>
        <v>0</v>
      </c>
      <c r="V324" s="155">
        <f t="shared" si="113"/>
        <v>0</v>
      </c>
      <c r="W324" s="155">
        <f t="shared" si="113"/>
        <v>0</v>
      </c>
      <c r="X324" s="155">
        <f t="shared" si="113"/>
        <v>0</v>
      </c>
      <c r="Y324" s="155">
        <f t="shared" si="113"/>
        <v>0</v>
      </c>
      <c r="Z324" s="155">
        <f t="shared" si="113"/>
        <v>0.03</v>
      </c>
      <c r="AA324" s="155">
        <f t="shared" si="113"/>
        <v>0</v>
      </c>
      <c r="AB324" s="155">
        <f t="shared" si="113"/>
        <v>0</v>
      </c>
      <c r="AC324" s="155">
        <f t="shared" si="113"/>
        <v>0</v>
      </c>
      <c r="AD324" s="155">
        <f t="shared" si="113"/>
        <v>0</v>
      </c>
      <c r="AE324" s="155">
        <f t="shared" si="113"/>
        <v>0</v>
      </c>
      <c r="AF324" s="155">
        <f t="shared" si="113"/>
        <v>0</v>
      </c>
      <c r="AG324" s="155">
        <f t="shared" si="113"/>
        <v>0</v>
      </c>
      <c r="AH324" s="155">
        <f t="shared" si="113"/>
        <v>0</v>
      </c>
      <c r="AI324" s="155">
        <f t="shared" si="113"/>
        <v>0</v>
      </c>
      <c r="AJ324" s="155">
        <f t="shared" si="113"/>
        <v>0</v>
      </c>
      <c r="AK324" s="155">
        <f t="shared" si="113"/>
        <v>0</v>
      </c>
      <c r="AL324" s="155">
        <f t="shared" si="113"/>
        <v>0.05</v>
      </c>
      <c r="AM324" s="155">
        <f t="shared" si="113"/>
        <v>0</v>
      </c>
      <c r="AN324" s="155">
        <f t="shared" si="113"/>
        <v>0</v>
      </c>
      <c r="AO324" s="155">
        <f t="shared" si="113"/>
        <v>0</v>
      </c>
      <c r="AP324" s="155">
        <f t="shared" si="113"/>
        <v>0</v>
      </c>
      <c r="AQ324" s="155">
        <f t="shared" si="113"/>
        <v>0.41749999999999998</v>
      </c>
      <c r="AR324" s="155">
        <f t="shared" si="113"/>
        <v>0</v>
      </c>
      <c r="AS324" s="155">
        <f t="shared" si="113"/>
        <v>0</v>
      </c>
      <c r="AT324" s="155">
        <f t="shared" si="113"/>
        <v>0</v>
      </c>
      <c r="AU324" s="155">
        <f t="shared" si="113"/>
        <v>0.04</v>
      </c>
      <c r="AV324" s="155">
        <f t="shared" si="113"/>
        <v>0</v>
      </c>
      <c r="AW324" s="155">
        <f t="shared" si="113"/>
        <v>0</v>
      </c>
      <c r="AX324" s="155">
        <f t="shared" si="113"/>
        <v>0</v>
      </c>
      <c r="AY324" s="155">
        <f t="shared" si="113"/>
        <v>0.02</v>
      </c>
      <c r="AZ324" s="155">
        <f t="shared" si="113"/>
        <v>0</v>
      </c>
      <c r="BA324" s="155">
        <f t="shared" si="113"/>
        <v>0</v>
      </c>
      <c r="BB324" s="155">
        <f t="shared" si="113"/>
        <v>0</v>
      </c>
      <c r="BC324" s="155">
        <f t="shared" si="113"/>
        <v>0</v>
      </c>
      <c r="BD324" s="155">
        <f t="shared" si="113"/>
        <v>0</v>
      </c>
      <c r="BE324" s="155">
        <f t="shared" si="113"/>
        <v>0</v>
      </c>
      <c r="BF324" s="155">
        <f t="shared" si="113"/>
        <v>0</v>
      </c>
      <c r="BG324" s="155">
        <f t="shared" si="113"/>
        <v>0</v>
      </c>
      <c r="BH324" s="155">
        <f t="shared" si="113"/>
        <v>0</v>
      </c>
      <c r="BI324" s="155">
        <f t="shared" si="113"/>
        <v>0</v>
      </c>
      <c r="BJ324" s="155">
        <f t="shared" si="113"/>
        <v>0</v>
      </c>
      <c r="BK324" s="155">
        <f t="shared" si="113"/>
        <v>0</v>
      </c>
      <c r="BL324" s="155">
        <f t="shared" si="113"/>
        <v>0.75</v>
      </c>
      <c r="BM324" s="155">
        <f t="shared" si="113"/>
        <v>0</v>
      </c>
      <c r="BN324" s="155">
        <f t="shared" ref="BN324:BR324" si="114">BN142</f>
        <v>0</v>
      </c>
      <c r="BO324" s="155">
        <f t="shared" si="114"/>
        <v>0</v>
      </c>
      <c r="BP324" s="155">
        <f t="shared" si="114"/>
        <v>0</v>
      </c>
      <c r="BQ324" s="155">
        <f t="shared" si="114"/>
        <v>0</v>
      </c>
      <c r="BR324" s="155">
        <f t="shared" si="114"/>
        <v>0</v>
      </c>
      <c r="BS324" s="155">
        <f t="shared" ref="BS324:CD324" si="115">BS142</f>
        <v>0</v>
      </c>
      <c r="BT324" s="155">
        <f t="shared" si="115"/>
        <v>0</v>
      </c>
      <c r="BU324" s="155">
        <f t="shared" si="115"/>
        <v>0</v>
      </c>
      <c r="BV324" s="155">
        <f t="shared" si="115"/>
        <v>0</v>
      </c>
      <c r="BW324" s="155">
        <f t="shared" si="115"/>
        <v>0</v>
      </c>
      <c r="BX324" s="155">
        <f t="shared" si="115"/>
        <v>0</v>
      </c>
      <c r="BY324" s="155">
        <f t="shared" si="115"/>
        <v>0</v>
      </c>
      <c r="BZ324" s="155">
        <f t="shared" si="115"/>
        <v>0</v>
      </c>
      <c r="CA324" s="155">
        <f t="shared" si="115"/>
        <v>0</v>
      </c>
      <c r="CB324" s="155">
        <f t="shared" si="115"/>
        <v>0</v>
      </c>
      <c r="CC324" s="155">
        <f t="shared" si="115"/>
        <v>0</v>
      </c>
      <c r="CD324" s="155">
        <f t="shared" si="115"/>
        <v>0</v>
      </c>
      <c r="CE324" s="783"/>
      <c r="CF324" s="783"/>
      <c r="CG324" s="783"/>
      <c r="CH324" s="783"/>
      <c r="CI324" s="783"/>
      <c r="CJ324" s="783"/>
      <c r="CK324" s="783"/>
      <c r="CL324" s="783"/>
      <c r="CM324" s="783"/>
      <c r="CN324" s="783"/>
      <c r="CO324" s="783"/>
      <c r="CP324" s="783"/>
      <c r="CQ324" s="783"/>
      <c r="CR324" s="783"/>
      <c r="CS324" s="783"/>
      <c r="CT324" s="783"/>
      <c r="CU324" s="783"/>
      <c r="CV324" s="783"/>
      <c r="CW324" s="783"/>
      <c r="CX324" s="783"/>
      <c r="CY324" s="783"/>
      <c r="CZ324" s="783"/>
    </row>
    <row r="325" spans="1:104" s="558" customFormat="1" x14ac:dyDescent="0.3">
      <c r="A325" s="563">
        <f>A169</f>
        <v>624</v>
      </c>
      <c r="B325" s="563" t="str">
        <f t="shared" ref="B325:BM325" si="116">B169</f>
        <v>Does the County collect real estate property taxes on your behalf? Select "1" for "yes and "2" for "No"</v>
      </c>
      <c r="C325" s="563">
        <f t="shared" si="116"/>
        <v>0</v>
      </c>
      <c r="D325" s="563">
        <f t="shared" si="116"/>
        <v>0</v>
      </c>
      <c r="E325" s="563">
        <f t="shared" si="116"/>
        <v>2</v>
      </c>
      <c r="F325" s="563">
        <f t="shared" si="116"/>
        <v>1</v>
      </c>
      <c r="G325" s="563">
        <f t="shared" si="116"/>
        <v>2</v>
      </c>
      <c r="H325" s="563">
        <f t="shared" si="116"/>
        <v>1</v>
      </c>
      <c r="I325" s="563">
        <f t="shared" si="116"/>
        <v>1</v>
      </c>
      <c r="J325" s="563">
        <f t="shared" si="116"/>
        <v>1</v>
      </c>
      <c r="K325" s="563">
        <f t="shared" si="116"/>
        <v>1</v>
      </c>
      <c r="L325" s="563">
        <f t="shared" si="116"/>
        <v>1</v>
      </c>
      <c r="M325" s="563">
        <f t="shared" si="116"/>
        <v>1</v>
      </c>
      <c r="N325" s="563">
        <f t="shared" si="116"/>
        <v>2</v>
      </c>
      <c r="O325" s="563">
        <f t="shared" si="116"/>
        <v>2</v>
      </c>
      <c r="P325" s="563">
        <f t="shared" si="116"/>
        <v>2</v>
      </c>
      <c r="Q325" s="563">
        <f t="shared" si="116"/>
        <v>1</v>
      </c>
      <c r="R325" s="563">
        <f t="shared" si="116"/>
        <v>1</v>
      </c>
      <c r="S325" s="563">
        <f t="shared" si="116"/>
        <v>0</v>
      </c>
      <c r="T325" s="563">
        <f t="shared" si="116"/>
        <v>2</v>
      </c>
      <c r="U325" s="563">
        <f t="shared" si="116"/>
        <v>2</v>
      </c>
      <c r="V325" s="563">
        <f t="shared" si="116"/>
        <v>1</v>
      </c>
      <c r="W325" s="563">
        <f t="shared" si="116"/>
        <v>1</v>
      </c>
      <c r="X325" s="563">
        <f t="shared" si="116"/>
        <v>2</v>
      </c>
      <c r="Y325" s="563">
        <f t="shared" si="116"/>
        <v>1</v>
      </c>
      <c r="Z325" s="563">
        <f t="shared" si="116"/>
        <v>1</v>
      </c>
      <c r="AA325" s="563">
        <f t="shared" si="116"/>
        <v>2</v>
      </c>
      <c r="AB325" s="563">
        <f t="shared" si="116"/>
        <v>0</v>
      </c>
      <c r="AC325" s="563">
        <f t="shared" si="116"/>
        <v>1</v>
      </c>
      <c r="AD325" s="563">
        <f t="shared" si="116"/>
        <v>2</v>
      </c>
      <c r="AE325" s="563">
        <f t="shared" si="116"/>
        <v>0</v>
      </c>
      <c r="AF325" s="563">
        <f t="shared" si="116"/>
        <v>1</v>
      </c>
      <c r="AG325" s="563">
        <f t="shared" si="116"/>
        <v>1</v>
      </c>
      <c r="AH325" s="563">
        <f t="shared" si="116"/>
        <v>2</v>
      </c>
      <c r="AI325" s="563">
        <f t="shared" si="116"/>
        <v>1</v>
      </c>
      <c r="AJ325" s="563">
        <f t="shared" si="116"/>
        <v>1</v>
      </c>
      <c r="AK325" s="563">
        <f t="shared" si="116"/>
        <v>1</v>
      </c>
      <c r="AL325" s="563">
        <f t="shared" si="116"/>
        <v>1</v>
      </c>
      <c r="AM325" s="563">
        <f t="shared" si="116"/>
        <v>2</v>
      </c>
      <c r="AN325" s="563">
        <f t="shared" si="116"/>
        <v>2</v>
      </c>
      <c r="AO325" s="563">
        <f t="shared" si="116"/>
        <v>2</v>
      </c>
      <c r="AP325" s="563">
        <f t="shared" si="116"/>
        <v>2</v>
      </c>
      <c r="AQ325" s="563">
        <f t="shared" si="116"/>
        <v>1</v>
      </c>
      <c r="AR325" s="563">
        <f t="shared" si="116"/>
        <v>1</v>
      </c>
      <c r="AS325" s="563">
        <f t="shared" si="116"/>
        <v>1</v>
      </c>
      <c r="AT325" s="563">
        <f t="shared" si="116"/>
        <v>2</v>
      </c>
      <c r="AU325" s="563">
        <f t="shared" si="116"/>
        <v>1</v>
      </c>
      <c r="AV325" s="563">
        <f t="shared" si="116"/>
        <v>1</v>
      </c>
      <c r="AW325" s="563">
        <f t="shared" si="116"/>
        <v>1</v>
      </c>
      <c r="AX325" s="563">
        <f t="shared" si="116"/>
        <v>1</v>
      </c>
      <c r="AY325" s="563">
        <f t="shared" si="116"/>
        <v>1</v>
      </c>
      <c r="AZ325" s="563">
        <f t="shared" si="116"/>
        <v>0</v>
      </c>
      <c r="BA325" s="563">
        <f t="shared" si="116"/>
        <v>1</v>
      </c>
      <c r="BB325" s="563">
        <f t="shared" si="116"/>
        <v>2</v>
      </c>
      <c r="BC325" s="563">
        <f t="shared" si="116"/>
        <v>2</v>
      </c>
      <c r="BD325" s="563">
        <f t="shared" si="116"/>
        <v>1</v>
      </c>
      <c r="BE325" s="563">
        <f t="shared" si="116"/>
        <v>2</v>
      </c>
      <c r="BF325" s="563">
        <f t="shared" si="116"/>
        <v>1</v>
      </c>
      <c r="BG325" s="563">
        <f t="shared" si="116"/>
        <v>1</v>
      </c>
      <c r="BH325" s="563">
        <f t="shared" si="116"/>
        <v>1</v>
      </c>
      <c r="BI325" s="563">
        <f t="shared" si="116"/>
        <v>1</v>
      </c>
      <c r="BJ325" s="563">
        <f t="shared" si="116"/>
        <v>1</v>
      </c>
      <c r="BK325" s="563">
        <f t="shared" si="116"/>
        <v>2</v>
      </c>
      <c r="BL325" s="563">
        <f t="shared" si="116"/>
        <v>1</v>
      </c>
      <c r="BM325" s="563">
        <f t="shared" si="116"/>
        <v>1</v>
      </c>
      <c r="BN325" s="563">
        <f t="shared" ref="BN325:BR325" si="117">BN169</f>
        <v>1</v>
      </c>
      <c r="BO325" s="563">
        <f t="shared" si="117"/>
        <v>1</v>
      </c>
      <c r="BP325" s="563">
        <f t="shared" si="117"/>
        <v>1</v>
      </c>
      <c r="BQ325" s="563">
        <f t="shared" si="117"/>
        <v>1</v>
      </c>
      <c r="BR325" s="563">
        <f t="shared" si="117"/>
        <v>1</v>
      </c>
      <c r="BS325" s="563">
        <f t="shared" ref="BS325:CD325" si="118">BS169</f>
        <v>1</v>
      </c>
      <c r="BT325" s="563">
        <f t="shared" si="118"/>
        <v>1</v>
      </c>
      <c r="BU325" s="563">
        <f t="shared" si="118"/>
        <v>1</v>
      </c>
      <c r="BV325" s="563">
        <f t="shared" si="118"/>
        <v>1</v>
      </c>
      <c r="BW325" s="563">
        <f t="shared" si="118"/>
        <v>2</v>
      </c>
      <c r="BX325" s="563">
        <f t="shared" si="118"/>
        <v>1</v>
      </c>
      <c r="BY325" s="563">
        <f t="shared" si="118"/>
        <v>1</v>
      </c>
      <c r="BZ325" s="563">
        <f t="shared" si="118"/>
        <v>2</v>
      </c>
      <c r="CA325" s="563">
        <f t="shared" si="118"/>
        <v>2</v>
      </c>
      <c r="CB325" s="563">
        <f t="shared" si="118"/>
        <v>2</v>
      </c>
      <c r="CC325" s="563">
        <f t="shared" si="118"/>
        <v>2</v>
      </c>
      <c r="CD325" s="563">
        <f t="shared" si="118"/>
        <v>2</v>
      </c>
    </row>
    <row r="326" spans="1:104" x14ac:dyDescent="0.3">
      <c r="A326" s="563">
        <f>A150</f>
        <v>577</v>
      </c>
      <c r="B326" s="563" t="str">
        <f t="shared" ref="B326:BM326" si="119">B150</f>
        <v>Yes  or "1" indicates unit has defined benefit other than the ones adm. By the state</v>
      </c>
      <c r="C326" s="563">
        <f t="shared" si="119"/>
        <v>0</v>
      </c>
      <c r="D326" s="563">
        <f t="shared" si="119"/>
        <v>0</v>
      </c>
      <c r="E326" s="563">
        <f t="shared" si="119"/>
        <v>2</v>
      </c>
      <c r="F326" s="563">
        <f t="shared" si="119"/>
        <v>2</v>
      </c>
      <c r="G326" s="563">
        <f t="shared" si="119"/>
        <v>2</v>
      </c>
      <c r="H326" s="563">
        <f t="shared" si="119"/>
        <v>2</v>
      </c>
      <c r="I326" s="563">
        <f t="shared" si="119"/>
        <v>2</v>
      </c>
      <c r="J326" s="563">
        <f t="shared" si="119"/>
        <v>2</v>
      </c>
      <c r="K326" s="563">
        <f t="shared" si="119"/>
        <v>0</v>
      </c>
      <c r="L326" s="563">
        <f t="shared" si="119"/>
        <v>2</v>
      </c>
      <c r="M326" s="563">
        <f t="shared" si="119"/>
        <v>2</v>
      </c>
      <c r="N326" s="563">
        <f t="shared" si="119"/>
        <v>2</v>
      </c>
      <c r="O326" s="563">
        <f t="shared" si="119"/>
        <v>2</v>
      </c>
      <c r="P326" s="563">
        <f t="shared" si="119"/>
        <v>0</v>
      </c>
      <c r="Q326" s="563">
        <f t="shared" si="119"/>
        <v>2</v>
      </c>
      <c r="R326" s="563">
        <f t="shared" si="119"/>
        <v>0</v>
      </c>
      <c r="S326" s="563">
        <f t="shared" si="119"/>
        <v>2</v>
      </c>
      <c r="T326" s="563">
        <f t="shared" si="119"/>
        <v>2</v>
      </c>
      <c r="U326" s="563">
        <f t="shared" si="119"/>
        <v>2</v>
      </c>
      <c r="V326" s="563">
        <f t="shared" si="119"/>
        <v>1</v>
      </c>
      <c r="W326" s="563">
        <f t="shared" si="119"/>
        <v>2</v>
      </c>
      <c r="X326" s="563">
        <f t="shared" si="119"/>
        <v>2</v>
      </c>
      <c r="Y326" s="563">
        <f t="shared" si="119"/>
        <v>2</v>
      </c>
      <c r="Z326" s="563">
        <f t="shared" si="119"/>
        <v>2</v>
      </c>
      <c r="AA326" s="563">
        <f t="shared" si="119"/>
        <v>2</v>
      </c>
      <c r="AB326" s="563">
        <f t="shared" si="119"/>
        <v>2</v>
      </c>
      <c r="AC326" s="563">
        <f t="shared" si="119"/>
        <v>2</v>
      </c>
      <c r="AD326" s="563">
        <f t="shared" si="119"/>
        <v>0</v>
      </c>
      <c r="AE326" s="563">
        <f t="shared" si="119"/>
        <v>0</v>
      </c>
      <c r="AF326" s="563">
        <f t="shared" si="119"/>
        <v>2</v>
      </c>
      <c r="AG326" s="563">
        <f t="shared" si="119"/>
        <v>0</v>
      </c>
      <c r="AH326" s="563">
        <f t="shared" si="119"/>
        <v>2</v>
      </c>
      <c r="AI326" s="563">
        <f t="shared" si="119"/>
        <v>2</v>
      </c>
      <c r="AJ326" s="563">
        <f t="shared" si="119"/>
        <v>2</v>
      </c>
      <c r="AK326" s="563">
        <f t="shared" si="119"/>
        <v>2</v>
      </c>
      <c r="AL326" s="563">
        <f t="shared" si="119"/>
        <v>2</v>
      </c>
      <c r="AM326" s="563">
        <f t="shared" si="119"/>
        <v>2</v>
      </c>
      <c r="AN326" s="563">
        <f t="shared" si="119"/>
        <v>2</v>
      </c>
      <c r="AO326" s="563">
        <f t="shared" si="119"/>
        <v>0</v>
      </c>
      <c r="AP326" s="563">
        <f t="shared" si="119"/>
        <v>2</v>
      </c>
      <c r="AQ326" s="563">
        <f t="shared" si="119"/>
        <v>1</v>
      </c>
      <c r="AR326" s="563">
        <f t="shared" si="119"/>
        <v>2</v>
      </c>
      <c r="AS326" s="563">
        <f t="shared" si="119"/>
        <v>2</v>
      </c>
      <c r="AT326" s="563">
        <f t="shared" si="119"/>
        <v>2</v>
      </c>
      <c r="AU326" s="563">
        <f t="shared" si="119"/>
        <v>2</v>
      </c>
      <c r="AV326" s="563">
        <f t="shared" si="119"/>
        <v>2</v>
      </c>
      <c r="AW326" s="563">
        <f t="shared" si="119"/>
        <v>2</v>
      </c>
      <c r="AX326" s="563">
        <f t="shared" si="119"/>
        <v>2</v>
      </c>
      <c r="AY326" s="563">
        <f t="shared" si="119"/>
        <v>2</v>
      </c>
      <c r="AZ326" s="563">
        <f t="shared" si="119"/>
        <v>0</v>
      </c>
      <c r="BA326" s="563">
        <f t="shared" si="119"/>
        <v>2</v>
      </c>
      <c r="BB326" s="563">
        <f t="shared" si="119"/>
        <v>2</v>
      </c>
      <c r="BC326" s="563">
        <f t="shared" si="119"/>
        <v>0</v>
      </c>
      <c r="BD326" s="563">
        <f t="shared" si="119"/>
        <v>2</v>
      </c>
      <c r="BE326" s="563">
        <f t="shared" si="119"/>
        <v>2</v>
      </c>
      <c r="BF326" s="563">
        <f t="shared" si="119"/>
        <v>2</v>
      </c>
      <c r="BG326" s="563">
        <f t="shared" si="119"/>
        <v>0</v>
      </c>
      <c r="BH326" s="563">
        <f t="shared" si="119"/>
        <v>2</v>
      </c>
      <c r="BI326" s="563">
        <f t="shared" si="119"/>
        <v>0</v>
      </c>
      <c r="BJ326" s="563">
        <f t="shared" si="119"/>
        <v>0</v>
      </c>
      <c r="BK326" s="563">
        <f t="shared" si="119"/>
        <v>0</v>
      </c>
      <c r="BL326" s="563">
        <f t="shared" si="119"/>
        <v>2</v>
      </c>
      <c r="BM326" s="563">
        <f t="shared" si="119"/>
        <v>2</v>
      </c>
      <c r="BN326" s="563">
        <f t="shared" ref="BN326:BR326" si="120">BN150</f>
        <v>2</v>
      </c>
      <c r="BO326" s="563">
        <f t="shared" si="120"/>
        <v>2</v>
      </c>
      <c r="BP326" s="563">
        <f t="shared" si="120"/>
        <v>2</v>
      </c>
      <c r="BQ326" s="563">
        <f t="shared" si="120"/>
        <v>2</v>
      </c>
      <c r="BR326" s="563">
        <f t="shared" si="120"/>
        <v>2</v>
      </c>
      <c r="BS326" s="563">
        <f t="shared" ref="BS326:CD326" si="121">BS150</f>
        <v>2</v>
      </c>
      <c r="BT326" s="563">
        <f t="shared" si="121"/>
        <v>2</v>
      </c>
      <c r="BU326" s="563">
        <f t="shared" si="121"/>
        <v>2</v>
      </c>
      <c r="BV326" s="563">
        <f t="shared" si="121"/>
        <v>2</v>
      </c>
      <c r="BW326" s="563">
        <f t="shared" si="121"/>
        <v>2</v>
      </c>
      <c r="BX326" s="563">
        <f t="shared" si="121"/>
        <v>2</v>
      </c>
      <c r="BY326" s="563">
        <f t="shared" si="121"/>
        <v>0</v>
      </c>
      <c r="BZ326" s="563">
        <f t="shared" si="121"/>
        <v>2</v>
      </c>
      <c r="CA326" s="563">
        <f t="shared" si="121"/>
        <v>2</v>
      </c>
      <c r="CB326" s="563">
        <f t="shared" si="121"/>
        <v>2</v>
      </c>
      <c r="CC326" s="563">
        <f t="shared" si="121"/>
        <v>2</v>
      </c>
      <c r="CD326" s="563">
        <f t="shared" si="121"/>
        <v>2</v>
      </c>
      <c r="CE326" s="560"/>
      <c r="CF326" s="560"/>
      <c r="CG326" s="560"/>
      <c r="CH326" s="560"/>
      <c r="CI326" s="560"/>
      <c r="CJ326" s="560"/>
      <c r="CK326" s="560"/>
      <c r="CL326" s="560"/>
      <c r="CM326" s="560"/>
      <c r="CN326" s="560"/>
      <c r="CO326" s="560"/>
      <c r="CP326" s="560"/>
      <c r="CQ326" s="560"/>
      <c r="CR326" s="560"/>
      <c r="CS326" s="560"/>
      <c r="CT326" s="560"/>
      <c r="CU326" s="560"/>
      <c r="CV326" s="560"/>
      <c r="CW326" s="560"/>
      <c r="CX326" s="560"/>
      <c r="CY326" s="560"/>
      <c r="CZ326" s="560"/>
    </row>
    <row r="327" spans="1:104" x14ac:dyDescent="0.3">
      <c r="A327" s="563">
        <f>A229</f>
        <v>991</v>
      </c>
      <c r="B327" s="563" t="str">
        <f t="shared" ref="B327:BM327" si="122">B229</f>
        <v>The Counties listed in cell H260 are scheduled to revalue property listing by 1/1/2022 according to the Dept. of Revenue records.  Please indicate if you expect your revaluation to increase, decrease, or no change.  If you are not listed please select N/A</v>
      </c>
      <c r="C327" s="563">
        <f t="shared" si="122"/>
        <v>0</v>
      </c>
      <c r="D327" s="563">
        <f t="shared" si="122"/>
        <v>0</v>
      </c>
      <c r="E327" s="563">
        <f t="shared" si="122"/>
        <v>23</v>
      </c>
      <c r="F327" s="563">
        <f t="shared" si="122"/>
        <v>23</v>
      </c>
      <c r="G327" s="563">
        <f t="shared" si="122"/>
        <v>23</v>
      </c>
      <c r="H327" s="563">
        <f t="shared" si="122"/>
        <v>23</v>
      </c>
      <c r="I327" s="563">
        <f t="shared" si="122"/>
        <v>22</v>
      </c>
      <c r="J327" s="563">
        <f t="shared" si="122"/>
        <v>23</v>
      </c>
      <c r="K327" s="563">
        <f t="shared" si="122"/>
        <v>23</v>
      </c>
      <c r="L327" s="563">
        <f t="shared" si="122"/>
        <v>23</v>
      </c>
      <c r="M327" s="563">
        <f t="shared" si="122"/>
        <v>23</v>
      </c>
      <c r="N327" s="563">
        <f t="shared" si="122"/>
        <v>23</v>
      </c>
      <c r="O327" s="563">
        <f t="shared" si="122"/>
        <v>23</v>
      </c>
      <c r="P327" s="563">
        <f t="shared" si="122"/>
        <v>23</v>
      </c>
      <c r="Q327" s="563">
        <f t="shared" si="122"/>
        <v>23</v>
      </c>
      <c r="R327" s="563">
        <f t="shared" si="122"/>
        <v>23</v>
      </c>
      <c r="S327" s="563">
        <f t="shared" si="122"/>
        <v>22</v>
      </c>
      <c r="T327" s="563">
        <f t="shared" si="122"/>
        <v>23</v>
      </c>
      <c r="U327" s="563">
        <f t="shared" si="122"/>
        <v>23</v>
      </c>
      <c r="V327" s="563">
        <f t="shared" si="122"/>
        <v>23</v>
      </c>
      <c r="W327" s="563">
        <f t="shared" si="122"/>
        <v>23</v>
      </c>
      <c r="X327" s="563">
        <f t="shared" si="122"/>
        <v>23</v>
      </c>
      <c r="Y327" s="563">
        <f t="shared" si="122"/>
        <v>23</v>
      </c>
      <c r="Z327" s="563">
        <f t="shared" si="122"/>
        <v>20</v>
      </c>
      <c r="AA327" s="563">
        <f t="shared" si="122"/>
        <v>23</v>
      </c>
      <c r="AB327" s="563">
        <f t="shared" si="122"/>
        <v>23</v>
      </c>
      <c r="AC327" s="563">
        <f t="shared" si="122"/>
        <v>20</v>
      </c>
      <c r="AD327" s="563">
        <f t="shared" si="122"/>
        <v>20</v>
      </c>
      <c r="AE327" s="563">
        <f t="shared" si="122"/>
        <v>0</v>
      </c>
      <c r="AF327" s="563">
        <f t="shared" si="122"/>
        <v>23</v>
      </c>
      <c r="AG327" s="563">
        <f t="shared" si="122"/>
        <v>0</v>
      </c>
      <c r="AH327" s="563">
        <f t="shared" si="122"/>
        <v>20</v>
      </c>
      <c r="AI327" s="563">
        <f t="shared" si="122"/>
        <v>23</v>
      </c>
      <c r="AJ327" s="563">
        <f t="shared" si="122"/>
        <v>0</v>
      </c>
      <c r="AK327" s="563">
        <f t="shared" si="122"/>
        <v>23</v>
      </c>
      <c r="AL327" s="563">
        <f t="shared" si="122"/>
        <v>23</v>
      </c>
      <c r="AM327" s="563">
        <f t="shared" si="122"/>
        <v>23</v>
      </c>
      <c r="AN327" s="563">
        <f t="shared" si="122"/>
        <v>23</v>
      </c>
      <c r="AO327" s="563">
        <f t="shared" si="122"/>
        <v>0</v>
      </c>
      <c r="AP327" s="563">
        <f t="shared" si="122"/>
        <v>22</v>
      </c>
      <c r="AQ327" s="563">
        <f t="shared" si="122"/>
        <v>23</v>
      </c>
      <c r="AR327" s="563">
        <f t="shared" si="122"/>
        <v>23</v>
      </c>
      <c r="AS327" s="563">
        <f t="shared" si="122"/>
        <v>20</v>
      </c>
      <c r="AT327" s="563">
        <f t="shared" si="122"/>
        <v>23</v>
      </c>
      <c r="AU327" s="563">
        <f t="shared" si="122"/>
        <v>23</v>
      </c>
      <c r="AV327" s="563">
        <f t="shared" si="122"/>
        <v>20</v>
      </c>
      <c r="AW327" s="563">
        <f t="shared" si="122"/>
        <v>22</v>
      </c>
      <c r="AX327" s="563">
        <f t="shared" si="122"/>
        <v>20</v>
      </c>
      <c r="AY327" s="563">
        <f t="shared" si="122"/>
        <v>23</v>
      </c>
      <c r="AZ327" s="563">
        <f t="shared" si="122"/>
        <v>0</v>
      </c>
      <c r="BA327" s="563">
        <f t="shared" si="122"/>
        <v>23</v>
      </c>
      <c r="BB327" s="563">
        <f t="shared" si="122"/>
        <v>20</v>
      </c>
      <c r="BC327" s="563">
        <f t="shared" si="122"/>
        <v>23</v>
      </c>
      <c r="BD327" s="563">
        <f t="shared" si="122"/>
        <v>23</v>
      </c>
      <c r="BE327" s="563">
        <f t="shared" si="122"/>
        <v>20</v>
      </c>
      <c r="BF327" s="563">
        <f t="shared" si="122"/>
        <v>20</v>
      </c>
      <c r="BG327" s="563">
        <f t="shared" si="122"/>
        <v>23</v>
      </c>
      <c r="BH327" s="563">
        <f t="shared" si="122"/>
        <v>23</v>
      </c>
      <c r="BI327" s="563">
        <f t="shared" si="122"/>
        <v>23</v>
      </c>
      <c r="BJ327" s="563">
        <f t="shared" si="122"/>
        <v>22</v>
      </c>
      <c r="BK327" s="563">
        <f t="shared" si="122"/>
        <v>23</v>
      </c>
      <c r="BL327" s="563">
        <f t="shared" si="122"/>
        <v>20</v>
      </c>
      <c r="BM327" s="563">
        <f t="shared" si="122"/>
        <v>23</v>
      </c>
      <c r="BN327" s="563">
        <f t="shared" ref="BN327:BR327" si="123">BN229</f>
        <v>20</v>
      </c>
      <c r="BO327" s="563">
        <f t="shared" si="123"/>
        <v>23</v>
      </c>
      <c r="BP327" s="563">
        <f t="shared" si="123"/>
        <v>23</v>
      </c>
      <c r="BQ327" s="563">
        <f t="shared" si="123"/>
        <v>23</v>
      </c>
      <c r="BR327" s="563">
        <f t="shared" si="123"/>
        <v>23</v>
      </c>
      <c r="BS327" s="563">
        <f t="shared" ref="BS327:CD327" si="124">BS229</f>
        <v>23</v>
      </c>
      <c r="BT327" s="563">
        <f t="shared" si="124"/>
        <v>23</v>
      </c>
      <c r="BU327" s="563">
        <f t="shared" si="124"/>
        <v>22</v>
      </c>
      <c r="BV327" s="563">
        <f t="shared" si="124"/>
        <v>20</v>
      </c>
      <c r="BW327" s="563">
        <f t="shared" si="124"/>
        <v>23</v>
      </c>
      <c r="BX327" s="563">
        <f t="shared" si="124"/>
        <v>23</v>
      </c>
      <c r="BY327" s="563">
        <f t="shared" si="124"/>
        <v>20</v>
      </c>
      <c r="BZ327" s="563">
        <f t="shared" si="124"/>
        <v>23</v>
      </c>
      <c r="CA327" s="563">
        <f t="shared" si="124"/>
        <v>23</v>
      </c>
      <c r="CB327" s="563">
        <f t="shared" si="124"/>
        <v>22</v>
      </c>
      <c r="CC327" s="563">
        <f t="shared" si="124"/>
        <v>0</v>
      </c>
      <c r="CD327" s="563">
        <f t="shared" si="124"/>
        <v>23</v>
      </c>
      <c r="CE327" s="560"/>
      <c r="CF327" s="560"/>
      <c r="CG327" s="560"/>
      <c r="CH327" s="560"/>
      <c r="CI327" s="560"/>
      <c r="CJ327" s="560"/>
      <c r="CK327" s="560"/>
      <c r="CL327" s="560"/>
      <c r="CM327" s="560"/>
      <c r="CN327" s="560"/>
      <c r="CO327" s="560"/>
      <c r="CP327" s="560"/>
      <c r="CQ327" s="560"/>
      <c r="CR327" s="560"/>
      <c r="CS327" s="560"/>
      <c r="CT327" s="560"/>
      <c r="CU327" s="560"/>
      <c r="CV327" s="560"/>
      <c r="CW327" s="560"/>
      <c r="CX327" s="560"/>
      <c r="CY327" s="560"/>
      <c r="CZ327" s="560"/>
    </row>
    <row r="328" spans="1:104" x14ac:dyDescent="0.3">
      <c r="A328" s="557" t="s">
        <v>980</v>
      </c>
      <c r="B328" s="180"/>
      <c r="C328" s="180"/>
      <c r="D328" s="568">
        <f>SUM(D285:D327)</f>
        <v>50179.01</v>
      </c>
      <c r="E328" s="568">
        <f>SUM(E285:E327)</f>
        <v>11053074.01</v>
      </c>
      <c r="F328" s="568">
        <f t="shared" ref="F328:BQ328" si="125">SUM(F285:F327)</f>
        <v>3574178</v>
      </c>
      <c r="G328" s="568">
        <f t="shared" si="125"/>
        <v>4430871.01</v>
      </c>
      <c r="H328" s="568">
        <f t="shared" si="125"/>
        <v>3915238.01</v>
      </c>
      <c r="I328" s="568">
        <f t="shared" si="125"/>
        <v>1193324.01</v>
      </c>
      <c r="J328" s="568">
        <f t="shared" si="125"/>
        <v>247859</v>
      </c>
      <c r="K328" s="568">
        <f t="shared" si="125"/>
        <v>1759336.01</v>
      </c>
      <c r="L328" s="568">
        <f t="shared" si="125"/>
        <v>45727931.090000004</v>
      </c>
      <c r="M328" s="568">
        <f t="shared" si="125"/>
        <v>1318997083</v>
      </c>
      <c r="N328" s="568">
        <f t="shared" si="125"/>
        <v>9547985</v>
      </c>
      <c r="O328" s="568">
        <f t="shared" si="125"/>
        <v>52280026</v>
      </c>
      <c r="P328" s="568">
        <f t="shared" si="125"/>
        <v>1144411.01</v>
      </c>
      <c r="Q328" s="568">
        <f t="shared" si="125"/>
        <v>95008171.099999994</v>
      </c>
      <c r="R328" s="568">
        <f t="shared" si="125"/>
        <v>613571</v>
      </c>
      <c r="S328" s="568">
        <f t="shared" si="125"/>
        <v>3336615.1</v>
      </c>
      <c r="T328" s="568">
        <f t="shared" si="125"/>
        <v>13859443.01</v>
      </c>
      <c r="U328" s="568">
        <f t="shared" si="125"/>
        <v>6457037.0099999998</v>
      </c>
      <c r="V328" s="568">
        <f t="shared" si="125"/>
        <v>37656182.009999998</v>
      </c>
      <c r="W328" s="568">
        <f t="shared" si="125"/>
        <v>6838108</v>
      </c>
      <c r="X328" s="568">
        <f t="shared" si="125"/>
        <v>3109168.01</v>
      </c>
      <c r="Y328" s="568">
        <f t="shared" si="125"/>
        <v>5692959.0899999999</v>
      </c>
      <c r="Z328" s="568">
        <f t="shared" si="125"/>
        <v>525737890.03999996</v>
      </c>
      <c r="AA328" s="568">
        <f t="shared" si="125"/>
        <v>14382645.01</v>
      </c>
      <c r="AB328" s="568">
        <f t="shared" si="125"/>
        <v>2890715.01</v>
      </c>
      <c r="AC328" s="568">
        <f t="shared" si="125"/>
        <v>339611198</v>
      </c>
      <c r="AD328" s="568">
        <f t="shared" si="125"/>
        <v>3561582</v>
      </c>
      <c r="AE328" s="568">
        <f t="shared" si="125"/>
        <v>50198</v>
      </c>
      <c r="AF328" s="568">
        <f t="shared" si="125"/>
        <v>796794903.07999992</v>
      </c>
      <c r="AG328" s="568">
        <f t="shared" si="125"/>
        <v>1650518</v>
      </c>
      <c r="AH328" s="568">
        <f t="shared" si="125"/>
        <v>1038887.01</v>
      </c>
      <c r="AI328" s="568">
        <f t="shared" si="125"/>
        <v>32185778.009999998</v>
      </c>
      <c r="AJ328" s="568">
        <f t="shared" si="125"/>
        <v>3612419.01</v>
      </c>
      <c r="AK328" s="568">
        <f t="shared" si="125"/>
        <v>3423740.01</v>
      </c>
      <c r="AL328" s="568">
        <f t="shared" si="125"/>
        <v>248194991.06</v>
      </c>
      <c r="AM328" s="568">
        <f t="shared" si="125"/>
        <v>5559528.0099999998</v>
      </c>
      <c r="AN328" s="568">
        <f t="shared" si="125"/>
        <v>124903628.00999999</v>
      </c>
      <c r="AO328" s="568">
        <f t="shared" si="125"/>
        <v>264203</v>
      </c>
      <c r="AP328" s="568">
        <f t="shared" si="125"/>
        <v>34959676.079999998</v>
      </c>
      <c r="AQ328" s="568">
        <f t="shared" si="125"/>
        <v>10166620.4175</v>
      </c>
      <c r="AR328" s="568">
        <f t="shared" si="125"/>
        <v>765480</v>
      </c>
      <c r="AS328" s="568">
        <f t="shared" si="125"/>
        <v>11705592.01</v>
      </c>
      <c r="AT328" s="568">
        <f t="shared" si="125"/>
        <v>3171426.01</v>
      </c>
      <c r="AU328" s="568">
        <f t="shared" si="125"/>
        <v>2507241020.0500002</v>
      </c>
      <c r="AV328" s="568">
        <f t="shared" si="125"/>
        <v>881478289.09000003</v>
      </c>
      <c r="AW328" s="568">
        <f t="shared" si="125"/>
        <v>11641698.01</v>
      </c>
      <c r="AX328" s="568">
        <f t="shared" si="125"/>
        <v>1474140.01</v>
      </c>
      <c r="AY328" s="568">
        <f t="shared" si="125"/>
        <v>1280449.03</v>
      </c>
      <c r="AZ328" s="568">
        <f t="shared" si="125"/>
        <v>50215.01</v>
      </c>
      <c r="BA328" s="568">
        <f t="shared" si="125"/>
        <v>2694709.09</v>
      </c>
      <c r="BB328" s="568">
        <f t="shared" si="125"/>
        <v>35712723.009999998</v>
      </c>
      <c r="BC328" s="568">
        <f t="shared" si="125"/>
        <v>2566931.0099999998</v>
      </c>
      <c r="BD328" s="568">
        <f t="shared" si="125"/>
        <v>738237</v>
      </c>
      <c r="BE328" s="568">
        <f t="shared" si="125"/>
        <v>500769.01</v>
      </c>
      <c r="BF328" s="568">
        <f t="shared" si="125"/>
        <v>142194018.00999999</v>
      </c>
      <c r="BG328" s="568">
        <f t="shared" si="125"/>
        <v>197847</v>
      </c>
      <c r="BH328" s="568">
        <f t="shared" si="125"/>
        <v>87321150.00999999</v>
      </c>
      <c r="BI328" s="568">
        <f t="shared" si="125"/>
        <v>21512556.009999998</v>
      </c>
      <c r="BJ328" s="568">
        <f t="shared" si="125"/>
        <v>1624682</v>
      </c>
      <c r="BK328" s="568">
        <f t="shared" si="125"/>
        <v>973837</v>
      </c>
      <c r="BL328" s="568">
        <f t="shared" si="125"/>
        <v>117390249.75999999</v>
      </c>
      <c r="BM328" s="568">
        <f t="shared" si="125"/>
        <v>232115975.00999999</v>
      </c>
      <c r="BN328" s="568">
        <f t="shared" si="125"/>
        <v>14212119.09</v>
      </c>
      <c r="BO328" s="568">
        <f t="shared" si="125"/>
        <v>561796282.00999999</v>
      </c>
      <c r="BP328" s="568">
        <f t="shared" si="125"/>
        <v>1033687501.0799999</v>
      </c>
      <c r="BQ328" s="568">
        <f t="shared" si="125"/>
        <v>6208403.0099999998</v>
      </c>
      <c r="BR328" s="568">
        <f t="shared" ref="BR328:CD328" si="126">SUM(BR285:BR327)</f>
        <v>82284985.099999994</v>
      </c>
      <c r="BS328" s="568">
        <f t="shared" si="126"/>
        <v>8683444</v>
      </c>
      <c r="BT328" s="568">
        <f t="shared" si="126"/>
        <v>77160282.00999999</v>
      </c>
      <c r="BU328" s="568">
        <f t="shared" si="126"/>
        <v>3488272.09</v>
      </c>
      <c r="BV328" s="568">
        <f t="shared" si="126"/>
        <v>2018495.01</v>
      </c>
      <c r="BW328" s="568">
        <f t="shared" si="126"/>
        <v>48093054.009999998</v>
      </c>
      <c r="BX328" s="568">
        <f t="shared" si="126"/>
        <v>18932241</v>
      </c>
      <c r="BY328" s="568">
        <f t="shared" si="126"/>
        <v>535862213.00999999</v>
      </c>
      <c r="BZ328" s="568">
        <f t="shared" si="126"/>
        <v>6869020.0899999999</v>
      </c>
      <c r="CA328" s="568">
        <f t="shared" si="126"/>
        <v>159085349</v>
      </c>
      <c r="CB328" s="568">
        <f t="shared" si="126"/>
        <v>2907837.01</v>
      </c>
      <c r="CC328" s="568">
        <f t="shared" si="126"/>
        <v>14224423</v>
      </c>
      <c r="CD328" s="568">
        <f t="shared" si="126"/>
        <v>425359094.06999999</v>
      </c>
      <c r="CE328" s="568"/>
      <c r="CF328" s="568"/>
      <c r="CG328" s="568"/>
      <c r="CH328" s="568"/>
      <c r="CI328" s="568"/>
      <c r="CJ328" s="568"/>
      <c r="CK328" s="568"/>
      <c r="CL328" s="568"/>
      <c r="CM328" s="568"/>
      <c r="CN328" s="568"/>
      <c r="CO328" s="568"/>
      <c r="CP328" s="568"/>
      <c r="CQ328" s="568"/>
      <c r="CR328" s="568"/>
      <c r="CS328" s="568"/>
      <c r="CT328" s="568"/>
      <c r="CU328" s="568"/>
      <c r="CV328" s="568"/>
      <c r="CW328" s="568"/>
      <c r="CX328" s="568"/>
      <c r="CY328" s="568"/>
      <c r="CZ328" s="568"/>
    </row>
    <row r="329" spans="1:104" x14ac:dyDescent="0.3">
      <c r="A329" s="557"/>
      <c r="B329" s="180"/>
      <c r="C329" s="180"/>
      <c r="D329" s="568"/>
      <c r="E329" s="568">
        <f>E259-E328</f>
        <v>93244523.739999995</v>
      </c>
      <c r="F329" s="568">
        <f t="shared" ref="F329:BQ329" si="127">F259-F328</f>
        <v>12024069.6</v>
      </c>
      <c r="G329" s="568">
        <f t="shared" si="127"/>
        <v>71839974.61999999</v>
      </c>
      <c r="H329" s="568">
        <f t="shared" si="127"/>
        <v>49163572.719999999</v>
      </c>
      <c r="I329" s="568">
        <f t="shared" si="127"/>
        <v>9611113.2200000007</v>
      </c>
      <c r="J329" s="568">
        <f t="shared" si="127"/>
        <v>1372679.33</v>
      </c>
      <c r="K329" s="568">
        <f t="shared" si="127"/>
        <v>29752364.569999997</v>
      </c>
      <c r="L329" s="568">
        <f t="shared" si="127"/>
        <v>395117795.45000005</v>
      </c>
      <c r="M329" s="568">
        <f>M259-M328</f>
        <v>4063205967.5594997</v>
      </c>
      <c r="N329" s="568">
        <f t="shared" si="127"/>
        <v>51520830.130000003</v>
      </c>
      <c r="O329" s="568">
        <f t="shared" si="127"/>
        <v>179705273.66999999</v>
      </c>
      <c r="P329" s="568">
        <f t="shared" si="127"/>
        <v>15406727.134</v>
      </c>
      <c r="Q329" s="568">
        <f>Q259-Q328</f>
        <v>663259075.55999994</v>
      </c>
      <c r="R329" s="568">
        <f t="shared" si="127"/>
        <v>3012257.29</v>
      </c>
      <c r="S329" s="568">
        <f t="shared" si="127"/>
        <v>45038807.317499995</v>
      </c>
      <c r="T329" s="568">
        <f t="shared" si="127"/>
        <v>77620018.909999996</v>
      </c>
      <c r="U329" s="568">
        <f t="shared" si="127"/>
        <v>45120400.910000004</v>
      </c>
      <c r="V329" s="568">
        <f t="shared" si="127"/>
        <v>315096316.25</v>
      </c>
      <c r="W329" s="568">
        <f t="shared" si="127"/>
        <v>37280819.710000001</v>
      </c>
      <c r="X329" s="568">
        <f t="shared" si="127"/>
        <v>42413830.865000002</v>
      </c>
      <c r="Y329" s="568">
        <f t="shared" si="127"/>
        <v>84700615.019999996</v>
      </c>
      <c r="Z329" s="568">
        <f t="shared" si="127"/>
        <v>2407099358.0549998</v>
      </c>
      <c r="AA329" s="568">
        <f t="shared" si="127"/>
        <v>70586073</v>
      </c>
      <c r="AB329" s="568">
        <f t="shared" si="127"/>
        <v>36300815.359999999</v>
      </c>
      <c r="AC329" s="568">
        <f t="shared" si="127"/>
        <v>1011442433.0620999</v>
      </c>
      <c r="AD329" s="568">
        <f t="shared" si="127"/>
        <v>14714413.52</v>
      </c>
      <c r="AE329" s="568">
        <f t="shared" si="127"/>
        <v>0</v>
      </c>
      <c r="AF329" s="568">
        <f t="shared" si="127"/>
        <v>4882493812.9099998</v>
      </c>
      <c r="AG329" s="568">
        <f t="shared" si="127"/>
        <v>10439923.710000001</v>
      </c>
      <c r="AH329" s="568">
        <f t="shared" si="127"/>
        <v>12343733.790000001</v>
      </c>
      <c r="AI329" s="568">
        <f t="shared" si="127"/>
        <v>193068854.54000002</v>
      </c>
      <c r="AJ329" s="568">
        <f t="shared" si="127"/>
        <v>29436106.789999999</v>
      </c>
      <c r="AK329" s="568">
        <f t="shared" si="127"/>
        <v>18196207.359999999</v>
      </c>
      <c r="AL329" s="568">
        <f t="shared" si="127"/>
        <v>1518687468.1100001</v>
      </c>
      <c r="AM329" s="568">
        <f t="shared" si="127"/>
        <v>49692932.890000001</v>
      </c>
      <c r="AN329" s="568">
        <f t="shared" si="127"/>
        <v>701147991.65999997</v>
      </c>
      <c r="AO329" s="568">
        <f t="shared" si="127"/>
        <v>1558114</v>
      </c>
      <c r="AP329" s="568">
        <f t="shared" si="127"/>
        <v>326508088.72000003</v>
      </c>
      <c r="AQ329" s="568">
        <f t="shared" si="127"/>
        <v>55631205.929999992</v>
      </c>
      <c r="AR329" s="568">
        <f t="shared" si="127"/>
        <v>-529921.98</v>
      </c>
      <c r="AS329" s="568">
        <f t="shared" si="127"/>
        <v>82671572.449999988</v>
      </c>
      <c r="AT329" s="568">
        <f t="shared" si="127"/>
        <v>33574892.539999999</v>
      </c>
      <c r="AU329" s="568">
        <f t="shared" si="127"/>
        <v>13108646859.3894</v>
      </c>
      <c r="AV329" s="568">
        <f t="shared" si="127"/>
        <v>6398962725.1894999</v>
      </c>
      <c r="AW329" s="568">
        <f t="shared" si="127"/>
        <v>82137714.5</v>
      </c>
      <c r="AX329" s="568">
        <f t="shared" si="127"/>
        <v>22894131.859999999</v>
      </c>
      <c r="AY329" s="568">
        <f t="shared" si="127"/>
        <v>22532164.82</v>
      </c>
      <c r="AZ329" s="568">
        <f t="shared" si="127"/>
        <v>0</v>
      </c>
      <c r="BA329" s="568">
        <f t="shared" si="127"/>
        <v>34375944.379999995</v>
      </c>
      <c r="BB329" s="568">
        <f t="shared" si="127"/>
        <v>209779348.51000002</v>
      </c>
      <c r="BC329" s="568">
        <f t="shared" si="127"/>
        <v>28438972.969999999</v>
      </c>
      <c r="BD329" s="568">
        <f t="shared" si="127"/>
        <v>3663748.63</v>
      </c>
      <c r="BE329" s="568">
        <f t="shared" si="127"/>
        <v>8633462.1300000008</v>
      </c>
      <c r="BF329" s="568">
        <f t="shared" si="127"/>
        <v>703102634.95000005</v>
      </c>
      <c r="BG329" s="568">
        <f t="shared" si="127"/>
        <v>992498.29</v>
      </c>
      <c r="BH329" s="568">
        <f t="shared" si="127"/>
        <v>529409153.13999999</v>
      </c>
      <c r="BI329" s="568">
        <f t="shared" si="127"/>
        <v>82777230.520000011</v>
      </c>
      <c r="BJ329" s="568">
        <f t="shared" si="127"/>
        <v>8965594.9749999996</v>
      </c>
      <c r="BK329" s="568">
        <f t="shared" si="127"/>
        <v>4046472</v>
      </c>
      <c r="BL329" s="568">
        <f t="shared" si="127"/>
        <v>1033519208.2720001</v>
      </c>
      <c r="BM329" s="568">
        <f t="shared" si="127"/>
        <v>1323780726.1700001</v>
      </c>
      <c r="BN329" s="568">
        <f t="shared" si="127"/>
        <v>153309090.495</v>
      </c>
      <c r="BO329" s="568">
        <f t="shared" si="127"/>
        <v>2447005142.25</v>
      </c>
      <c r="BP329" s="568">
        <f t="shared" si="127"/>
        <v>7594052561.9375</v>
      </c>
      <c r="BQ329" s="568">
        <f t="shared" si="127"/>
        <v>43146726.440000005</v>
      </c>
      <c r="BR329" s="568">
        <f t="shared" ref="BR329:CD329" si="128">BR259-BR328</f>
        <v>417343486.87699997</v>
      </c>
      <c r="BS329" s="568">
        <f t="shared" si="128"/>
        <v>35511281.990000002</v>
      </c>
      <c r="BT329" s="568">
        <f t="shared" si="128"/>
        <v>731639587.51699996</v>
      </c>
      <c r="BU329" s="568">
        <f t="shared" si="128"/>
        <v>30520002.599999998</v>
      </c>
      <c r="BV329" s="568">
        <f t="shared" si="128"/>
        <v>19798200.5</v>
      </c>
      <c r="BW329" s="568">
        <f t="shared" si="128"/>
        <v>304407943.38999999</v>
      </c>
      <c r="BX329" s="568">
        <f t="shared" si="128"/>
        <v>72637504.409999996</v>
      </c>
      <c r="BY329" s="568">
        <f t="shared" si="128"/>
        <v>2283293965.2516003</v>
      </c>
      <c r="BZ329" s="568">
        <f t="shared" si="128"/>
        <v>38974830.605000004</v>
      </c>
      <c r="CA329" s="568">
        <f t="shared" si="128"/>
        <v>258924305.80000001</v>
      </c>
      <c r="CB329" s="568">
        <f t="shared" si="128"/>
        <v>27883345.340000004</v>
      </c>
      <c r="CC329" s="568">
        <f t="shared" si="128"/>
        <v>63959275.659999996</v>
      </c>
      <c r="CD329" s="568">
        <f t="shared" si="128"/>
        <v>1578178163.6100001</v>
      </c>
      <c r="CE329" s="568"/>
      <c r="CF329" s="568"/>
      <c r="CG329" s="568"/>
      <c r="CH329" s="568"/>
      <c r="CI329" s="568"/>
      <c r="CJ329" s="568"/>
      <c r="CK329" s="568"/>
      <c r="CL329" s="568"/>
      <c r="CM329" s="568"/>
      <c r="CN329" s="568"/>
      <c r="CO329" s="568"/>
      <c r="CP329" s="568"/>
      <c r="CQ329" s="568"/>
      <c r="CR329" s="568"/>
      <c r="CS329" s="568"/>
      <c r="CT329" s="568"/>
      <c r="CU329" s="568"/>
      <c r="CV329" s="568"/>
      <c r="CW329" s="568"/>
      <c r="CX329" s="568"/>
      <c r="CY329" s="568"/>
      <c r="CZ329" s="568"/>
    </row>
    <row r="330" spans="1:104" x14ac:dyDescent="0.3">
      <c r="A330" s="557" t="s">
        <v>1670</v>
      </c>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c r="AC330" s="180"/>
      <c r="AD330" s="180"/>
      <c r="AE330" s="180"/>
      <c r="AF330" s="180"/>
      <c r="AG330" s="180"/>
      <c r="AH330" s="180"/>
      <c r="AI330" s="180"/>
      <c r="AJ330" s="180"/>
      <c r="AK330" s="180"/>
      <c r="AL330" s="180"/>
      <c r="AM330" s="180"/>
      <c r="AN330" s="180"/>
      <c r="AO330" s="180"/>
      <c r="AP330" s="180"/>
      <c r="AQ330" s="180"/>
      <c r="AR330" s="180"/>
      <c r="AS330" s="180"/>
      <c r="AT330" s="180"/>
      <c r="AU330" s="180"/>
      <c r="AV330" s="180"/>
      <c r="AW330" s="180"/>
      <c r="AX330" s="180"/>
      <c r="AY330" s="180"/>
      <c r="AZ330" s="180"/>
      <c r="BA330" s="180"/>
      <c r="BB330" s="180"/>
      <c r="BC330" s="180"/>
      <c r="BD330" s="180"/>
      <c r="BE330" s="180"/>
      <c r="BF330" s="180"/>
      <c r="BG330" s="180"/>
      <c r="BH330" s="180"/>
      <c r="BI330" s="180"/>
      <c r="BJ330" s="180"/>
      <c r="BK330" s="180"/>
      <c r="BL330" s="180"/>
      <c r="BM330" s="180"/>
      <c r="BN330" s="180"/>
      <c r="BO330" s="180"/>
      <c r="BP330" s="180"/>
      <c r="BQ330" s="180"/>
      <c r="BR330" s="180"/>
    </row>
    <row r="331" spans="1:104" x14ac:dyDescent="0.3">
      <c r="A331" s="557"/>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C331" s="180"/>
      <c r="AD331" s="180"/>
      <c r="AE331" s="180"/>
      <c r="AF331" s="180"/>
      <c r="AG331" s="180"/>
      <c r="AH331" s="180"/>
      <c r="AI331" s="180"/>
      <c r="AJ331" s="180"/>
      <c r="AK331" s="180"/>
      <c r="AL331" s="180"/>
      <c r="AM331" s="180"/>
      <c r="AN331" s="180"/>
      <c r="AO331" s="180"/>
      <c r="AP331" s="180"/>
      <c r="AQ331" s="180"/>
      <c r="AR331" s="180"/>
      <c r="AS331" s="180"/>
      <c r="AT331" s="180"/>
      <c r="AU331" s="180"/>
      <c r="AV331" s="180"/>
      <c r="AW331" s="180"/>
      <c r="AX331" s="180"/>
      <c r="AY331" s="180"/>
      <c r="AZ331" s="180"/>
      <c r="BA331" s="180"/>
      <c r="BB331" s="180"/>
      <c r="BC331" s="180"/>
      <c r="BD331" s="180"/>
      <c r="BE331" s="180"/>
      <c r="BF331" s="180"/>
      <c r="BG331" s="180"/>
      <c r="BH331" s="180"/>
      <c r="BI331" s="180"/>
      <c r="BJ331" s="180"/>
      <c r="BK331" s="180"/>
      <c r="BL331" s="180"/>
      <c r="BM331" s="180"/>
      <c r="BN331" s="180"/>
      <c r="BO331" s="180"/>
      <c r="BP331" s="180"/>
      <c r="BQ331" s="180"/>
      <c r="BR331" s="180"/>
      <c r="BS331" s="180"/>
      <c r="BT331" s="180"/>
      <c r="BU331" s="180"/>
      <c r="BV331" s="180"/>
      <c r="BW331" s="180"/>
      <c r="BX331" s="180"/>
      <c r="BY331" s="180"/>
      <c r="BZ331" s="180"/>
      <c r="CA331" s="180"/>
      <c r="CB331" s="180"/>
      <c r="CC331" s="180"/>
      <c r="CD331" s="180"/>
      <c r="CE331" s="180"/>
      <c r="CF331" s="180"/>
      <c r="CG331" s="180"/>
      <c r="CH331" s="180"/>
      <c r="CI331" s="180"/>
      <c r="CJ331" s="180"/>
      <c r="CK331" s="180"/>
      <c r="CL331" s="180"/>
      <c r="CM331" s="180"/>
      <c r="CN331" s="180"/>
      <c r="CO331" s="180"/>
      <c r="CP331" s="180"/>
      <c r="CQ331" s="180"/>
      <c r="CR331" s="180"/>
      <c r="CS331" s="180"/>
      <c r="CT331" s="180"/>
      <c r="CU331" s="180"/>
      <c r="CV331" s="180"/>
      <c r="CW331" s="180"/>
      <c r="CX331" s="180"/>
      <c r="CY331" s="180"/>
      <c r="CZ331" s="180"/>
    </row>
    <row r="332" spans="1:104" x14ac:dyDescent="0.3">
      <c r="A332" s="559">
        <f>A260</f>
        <v>9001</v>
      </c>
      <c r="B332" s="559">
        <v>385</v>
      </c>
      <c r="D332">
        <f>D260</f>
        <v>0</v>
      </c>
      <c r="E332" s="180">
        <f t="shared" ref="E332:BP333" si="129">E260</f>
        <v>4769208</v>
      </c>
      <c r="F332" s="180">
        <f t="shared" si="129"/>
        <v>2809872</v>
      </c>
      <c r="G332" s="180">
        <f t="shared" si="129"/>
        <v>2189355</v>
      </c>
      <c r="H332" s="180">
        <f t="shared" si="129"/>
        <v>2070180</v>
      </c>
      <c r="I332" s="180">
        <f t="shared" si="129"/>
        <v>887358</v>
      </c>
      <c r="J332" s="180">
        <f t="shared" si="129"/>
        <v>194230</v>
      </c>
      <c r="K332" s="180">
        <f t="shared" si="129"/>
        <v>841218</v>
      </c>
      <c r="L332" s="180">
        <f t="shared" si="129"/>
        <v>19560618</v>
      </c>
      <c r="M332" s="180">
        <f t="shared" si="129"/>
        <v>755227114</v>
      </c>
      <c r="N332" s="180">
        <f t="shared" si="129"/>
        <v>8245579</v>
      </c>
      <c r="O332" s="180">
        <f t="shared" si="129"/>
        <v>32730017</v>
      </c>
      <c r="P332" s="180">
        <f t="shared" si="129"/>
        <v>978467</v>
      </c>
      <c r="Q332" s="180">
        <f t="shared" si="129"/>
        <v>36901394</v>
      </c>
      <c r="R332" s="180">
        <f t="shared" si="129"/>
        <v>430098</v>
      </c>
      <c r="S332" s="180">
        <f t="shared" si="129"/>
        <v>1244214</v>
      </c>
      <c r="T332" s="180">
        <f t="shared" si="129"/>
        <v>5505118</v>
      </c>
      <c r="U332" s="180">
        <f t="shared" si="129"/>
        <v>4375638</v>
      </c>
      <c r="V332" s="180">
        <f t="shared" si="129"/>
        <v>17960949</v>
      </c>
      <c r="W332" s="180">
        <f t="shared" si="129"/>
        <v>4528287</v>
      </c>
      <c r="X332" s="180">
        <f t="shared" si="129"/>
        <v>2118430</v>
      </c>
      <c r="Y332" s="180">
        <f t="shared" si="129"/>
        <v>1946645</v>
      </c>
      <c r="Z332" s="180">
        <f t="shared" si="129"/>
        <v>325203326</v>
      </c>
      <c r="AA332" s="180">
        <f t="shared" si="129"/>
        <v>10881897</v>
      </c>
      <c r="AB332" s="180">
        <f t="shared" si="129"/>
        <v>1906549</v>
      </c>
      <c r="AC332" s="180">
        <f t="shared" si="129"/>
        <v>188584211</v>
      </c>
      <c r="AD332" s="180">
        <f t="shared" si="129"/>
        <v>3365049</v>
      </c>
      <c r="AE332" s="180">
        <f t="shared" si="129"/>
        <v>0</v>
      </c>
      <c r="AF332" s="180">
        <f t="shared" si="129"/>
        <v>344231998</v>
      </c>
      <c r="AG332" s="180">
        <f t="shared" si="129"/>
        <v>1506487</v>
      </c>
      <c r="AH332" s="180">
        <f t="shared" si="129"/>
        <v>746315</v>
      </c>
      <c r="AI332" s="180">
        <f t="shared" si="129"/>
        <v>16221347</v>
      </c>
      <c r="AJ332" s="180">
        <f t="shared" si="129"/>
        <v>2723495</v>
      </c>
      <c r="AK332" s="180">
        <f t="shared" si="129"/>
        <v>858435</v>
      </c>
      <c r="AL332" s="180">
        <f t="shared" si="129"/>
        <v>128817324</v>
      </c>
      <c r="AM332" s="180">
        <f t="shared" si="129"/>
        <v>1550706</v>
      </c>
      <c r="AN332" s="180">
        <f t="shared" si="129"/>
        <v>49714098</v>
      </c>
      <c r="AO332" s="180">
        <f t="shared" si="129"/>
        <v>181220</v>
      </c>
      <c r="AP332" s="180">
        <f t="shared" si="129"/>
        <v>14567807</v>
      </c>
      <c r="AQ332" s="180">
        <f t="shared" si="129"/>
        <v>8216404</v>
      </c>
      <c r="AR332" s="180">
        <f t="shared" si="129"/>
        <v>609340</v>
      </c>
      <c r="AS332" s="180">
        <f t="shared" si="129"/>
        <v>6878456</v>
      </c>
      <c r="AT332" s="180">
        <f t="shared" si="129"/>
        <v>1486671</v>
      </c>
      <c r="AU332" s="180">
        <f t="shared" si="129"/>
        <v>1158540782</v>
      </c>
      <c r="AV332" s="180">
        <f t="shared" si="129"/>
        <v>445297112</v>
      </c>
      <c r="AW332" s="180">
        <f t="shared" si="129"/>
        <v>4871955</v>
      </c>
      <c r="AX332" s="180">
        <f t="shared" si="129"/>
        <v>956859</v>
      </c>
      <c r="AY332" s="180">
        <f t="shared" si="129"/>
        <v>876996</v>
      </c>
      <c r="AZ332" s="180">
        <f t="shared" si="129"/>
        <v>0</v>
      </c>
      <c r="BA332" s="180">
        <f t="shared" si="129"/>
        <v>1510491</v>
      </c>
      <c r="BB332" s="180">
        <f t="shared" si="129"/>
        <v>15955653</v>
      </c>
      <c r="BC332" s="180">
        <f t="shared" si="129"/>
        <v>2092416</v>
      </c>
      <c r="BD332" s="180">
        <f t="shared" si="129"/>
        <v>535677</v>
      </c>
      <c r="BE332" s="180">
        <f t="shared" si="129"/>
        <v>213492</v>
      </c>
      <c r="BF332" s="180">
        <f t="shared" si="129"/>
        <v>89162849</v>
      </c>
      <c r="BG332" s="180">
        <f t="shared" si="129"/>
        <v>135456</v>
      </c>
      <c r="BH332" s="180">
        <f t="shared" si="129"/>
        <v>42421766</v>
      </c>
      <c r="BI332" s="180">
        <f t="shared" si="129"/>
        <v>9680585</v>
      </c>
      <c r="BJ332" s="180">
        <f t="shared" si="129"/>
        <v>1361750</v>
      </c>
      <c r="BK332" s="180">
        <f t="shared" si="129"/>
        <v>771950</v>
      </c>
      <c r="BL332" s="180">
        <f t="shared" si="129"/>
        <v>43716516</v>
      </c>
      <c r="BM332" s="180">
        <f t="shared" si="129"/>
        <v>90735898</v>
      </c>
      <c r="BN332" s="180">
        <f t="shared" si="129"/>
        <v>4739383</v>
      </c>
      <c r="BO332" s="180">
        <f t="shared" si="129"/>
        <v>293953189</v>
      </c>
      <c r="BP332" s="180">
        <f t="shared" si="129"/>
        <v>440841239</v>
      </c>
      <c r="BQ332" s="180">
        <f t="shared" ref="BQ332:BR334" si="130">BQ260</f>
        <v>1382637</v>
      </c>
      <c r="BR332" s="180">
        <f t="shared" si="130"/>
        <v>44741797</v>
      </c>
      <c r="BS332" s="180">
        <f t="shared" ref="BS332:CD332" si="131">BS260</f>
        <v>7198061</v>
      </c>
      <c r="BT332" s="180">
        <f t="shared" si="131"/>
        <v>45010698</v>
      </c>
      <c r="BU332" s="180">
        <f t="shared" si="131"/>
        <v>1893653</v>
      </c>
      <c r="BV332" s="180">
        <f t="shared" si="131"/>
        <v>1607511</v>
      </c>
      <c r="BW332" s="180">
        <f t="shared" si="131"/>
        <v>27583534</v>
      </c>
      <c r="BX332" s="180">
        <f t="shared" si="131"/>
        <v>9950377</v>
      </c>
      <c r="BY332" s="180">
        <f t="shared" si="131"/>
        <v>299567961</v>
      </c>
      <c r="BZ332" s="180">
        <f t="shared" si="131"/>
        <v>1501467</v>
      </c>
      <c r="CA332" s="180">
        <f t="shared" si="131"/>
        <v>62237993</v>
      </c>
      <c r="CB332" s="180">
        <f t="shared" si="131"/>
        <v>1866692</v>
      </c>
      <c r="CC332" s="180">
        <f t="shared" si="131"/>
        <v>9866075</v>
      </c>
      <c r="CD332" s="180">
        <f t="shared" si="131"/>
        <v>248319453</v>
      </c>
    </row>
    <row r="333" spans="1:104" x14ac:dyDescent="0.3">
      <c r="A333" s="559">
        <f>A261</f>
        <v>9002</v>
      </c>
      <c r="B333" s="559">
        <v>626</v>
      </c>
      <c r="D333" s="180">
        <f t="shared" ref="D333:S334" si="132">D261</f>
        <v>0</v>
      </c>
      <c r="E333" s="180">
        <f t="shared" si="132"/>
        <v>166824</v>
      </c>
      <c r="F333" s="180">
        <f t="shared" si="132"/>
        <v>60072</v>
      </c>
      <c r="G333" s="180">
        <f t="shared" si="132"/>
        <v>23765</v>
      </c>
      <c r="H333" s="180">
        <f t="shared" si="132"/>
        <v>20029</v>
      </c>
      <c r="I333" s="180">
        <f t="shared" si="132"/>
        <v>3569</v>
      </c>
      <c r="J333" s="180">
        <f t="shared" si="132"/>
        <v>1128</v>
      </c>
      <c r="K333" s="180">
        <f t="shared" si="132"/>
        <v>170563</v>
      </c>
      <c r="L333" s="180">
        <f t="shared" si="132"/>
        <v>881002</v>
      </c>
      <c r="M333" s="180">
        <f t="shared" si="132"/>
        <v>79873021</v>
      </c>
      <c r="N333" s="180">
        <f t="shared" si="132"/>
        <v>300518</v>
      </c>
      <c r="O333" s="180">
        <f t="shared" si="132"/>
        <v>789418</v>
      </c>
      <c r="P333" s="180">
        <f t="shared" si="132"/>
        <v>12814</v>
      </c>
      <c r="Q333" s="180">
        <f t="shared" si="132"/>
        <v>1272450</v>
      </c>
      <c r="R333" s="180">
        <f t="shared" si="132"/>
        <v>58317</v>
      </c>
      <c r="S333" s="180">
        <f t="shared" si="132"/>
        <v>160071</v>
      </c>
      <c r="T333" s="180">
        <f t="shared" si="129"/>
        <v>1276378</v>
      </c>
      <c r="U333" s="180">
        <f t="shared" si="129"/>
        <v>49200</v>
      </c>
      <c r="V333" s="180">
        <f t="shared" si="129"/>
        <v>1497278</v>
      </c>
      <c r="W333" s="180">
        <f t="shared" si="129"/>
        <v>50097</v>
      </c>
      <c r="X333" s="180">
        <f t="shared" si="129"/>
        <v>25507</v>
      </c>
      <c r="Y333" s="180">
        <f t="shared" si="129"/>
        <v>169378</v>
      </c>
      <c r="Z333" s="180">
        <f t="shared" si="129"/>
        <v>7771425</v>
      </c>
      <c r="AA333" s="180">
        <f t="shared" si="129"/>
        <v>639524</v>
      </c>
      <c r="AB333" s="180">
        <f t="shared" si="129"/>
        <v>14615</v>
      </c>
      <c r="AC333" s="180">
        <f t="shared" si="129"/>
        <v>7419583</v>
      </c>
      <c r="AD333" s="180">
        <f t="shared" si="129"/>
        <v>0</v>
      </c>
      <c r="AE333" s="180">
        <f t="shared" si="129"/>
        <v>0</v>
      </c>
      <c r="AF333" s="180">
        <f t="shared" si="129"/>
        <v>33879546</v>
      </c>
      <c r="AG333" s="180">
        <f t="shared" si="129"/>
        <v>31265</v>
      </c>
      <c r="AH333" s="180">
        <f t="shared" si="129"/>
        <v>3362</v>
      </c>
      <c r="AI333" s="180">
        <f t="shared" si="129"/>
        <v>1096224</v>
      </c>
      <c r="AJ333" s="180">
        <f t="shared" si="129"/>
        <v>68018</v>
      </c>
      <c r="AK333" s="180">
        <f t="shared" si="129"/>
        <v>46065</v>
      </c>
      <c r="AL333" s="180">
        <f t="shared" si="129"/>
        <v>6896760</v>
      </c>
      <c r="AM333" s="180">
        <f t="shared" si="129"/>
        <v>3917</v>
      </c>
      <c r="AN333" s="180">
        <f t="shared" si="129"/>
        <v>5485707</v>
      </c>
      <c r="AO333" s="180">
        <f t="shared" si="129"/>
        <v>9518</v>
      </c>
      <c r="AP333" s="180">
        <f t="shared" si="129"/>
        <v>370178</v>
      </c>
      <c r="AQ333" s="180">
        <f t="shared" si="129"/>
        <v>56246</v>
      </c>
      <c r="AR333" s="180">
        <f t="shared" si="129"/>
        <v>52386</v>
      </c>
      <c r="AS333" s="180">
        <f t="shared" si="129"/>
        <v>248646</v>
      </c>
      <c r="AT333" s="180">
        <f t="shared" si="129"/>
        <v>228836</v>
      </c>
      <c r="AU333" s="180">
        <f t="shared" si="129"/>
        <v>103873633</v>
      </c>
      <c r="AV333" s="180">
        <f t="shared" si="129"/>
        <v>40583702</v>
      </c>
      <c r="AW333" s="180">
        <f t="shared" si="129"/>
        <v>945035</v>
      </c>
      <c r="AX333" s="180">
        <f t="shared" si="129"/>
        <v>42980</v>
      </c>
      <c r="AY333" s="180">
        <f t="shared" si="129"/>
        <v>19415</v>
      </c>
      <c r="AZ333" s="180">
        <f t="shared" si="129"/>
        <v>0</v>
      </c>
      <c r="BA333" s="180">
        <f t="shared" si="129"/>
        <v>681</v>
      </c>
      <c r="BB333" s="180">
        <f t="shared" si="129"/>
        <v>1480943</v>
      </c>
      <c r="BC333" s="180">
        <f t="shared" si="129"/>
        <v>6927</v>
      </c>
      <c r="BD333" s="180">
        <f t="shared" si="129"/>
        <v>70988</v>
      </c>
      <c r="BE333" s="180">
        <f t="shared" si="129"/>
        <v>3414</v>
      </c>
      <c r="BF333" s="180">
        <f t="shared" si="129"/>
        <v>7409389</v>
      </c>
      <c r="BG333" s="180">
        <f t="shared" si="129"/>
        <v>0</v>
      </c>
      <c r="BH333" s="180">
        <f t="shared" si="129"/>
        <v>6171595</v>
      </c>
      <c r="BI333" s="180">
        <f t="shared" si="129"/>
        <v>1062125</v>
      </c>
      <c r="BJ333" s="180">
        <f t="shared" si="129"/>
        <v>97657</v>
      </c>
      <c r="BK333" s="180">
        <f t="shared" si="129"/>
        <v>50410</v>
      </c>
      <c r="BL333" s="180">
        <f t="shared" si="129"/>
        <v>3136090</v>
      </c>
      <c r="BM333" s="180">
        <f t="shared" si="129"/>
        <v>2525553</v>
      </c>
      <c r="BN333" s="180">
        <f t="shared" si="129"/>
        <v>823310</v>
      </c>
      <c r="BO333" s="180">
        <f t="shared" si="129"/>
        <v>15714393</v>
      </c>
      <c r="BP333" s="180">
        <f t="shared" si="129"/>
        <v>32914233</v>
      </c>
      <c r="BQ333" s="180">
        <f t="shared" si="130"/>
        <v>6551</v>
      </c>
      <c r="BR333" s="180">
        <f t="shared" si="130"/>
        <v>1270868</v>
      </c>
      <c r="BS333" s="180">
        <f t="shared" ref="BS333:CD333" si="133">BS261</f>
        <v>422685</v>
      </c>
      <c r="BT333" s="180">
        <f t="shared" si="133"/>
        <v>1398355</v>
      </c>
      <c r="BU333" s="180">
        <f t="shared" si="133"/>
        <v>347724</v>
      </c>
      <c r="BV333" s="180">
        <f t="shared" si="133"/>
        <v>123968</v>
      </c>
      <c r="BW333" s="180">
        <f t="shared" si="133"/>
        <v>2303000</v>
      </c>
      <c r="BX333" s="180">
        <f t="shared" si="133"/>
        <v>1255630</v>
      </c>
      <c r="BY333" s="180">
        <f t="shared" si="133"/>
        <v>22830953</v>
      </c>
      <c r="BZ333" s="180">
        <f t="shared" si="133"/>
        <v>23529</v>
      </c>
      <c r="CA333" s="180">
        <f t="shared" si="133"/>
        <v>25152957</v>
      </c>
      <c r="CB333" s="180">
        <f t="shared" si="133"/>
        <v>33740</v>
      </c>
      <c r="CC333" s="180">
        <f t="shared" si="133"/>
        <v>494454</v>
      </c>
      <c r="CD333" s="180">
        <f t="shared" si="133"/>
        <v>27445035</v>
      </c>
    </row>
    <row r="334" spans="1:104" x14ac:dyDescent="0.3">
      <c r="A334" s="559">
        <f>A262</f>
        <v>9003</v>
      </c>
      <c r="B334" s="559">
        <v>338</v>
      </c>
      <c r="D334" s="180">
        <f t="shared" si="132"/>
        <v>0</v>
      </c>
      <c r="E334" s="180">
        <f t="shared" ref="E334:BP334" si="134">E262</f>
        <v>3360383</v>
      </c>
      <c r="F334" s="180">
        <f t="shared" si="134"/>
        <v>500091</v>
      </c>
      <c r="G334" s="180">
        <f t="shared" si="134"/>
        <v>409494</v>
      </c>
      <c r="H334" s="180">
        <f t="shared" si="134"/>
        <v>246370</v>
      </c>
      <c r="I334" s="180">
        <f t="shared" si="134"/>
        <v>11387</v>
      </c>
      <c r="J334" s="180">
        <f t="shared" si="134"/>
        <v>1128</v>
      </c>
      <c r="K334" s="180">
        <f t="shared" si="134"/>
        <v>170563</v>
      </c>
      <c r="L334" s="180">
        <f t="shared" si="134"/>
        <v>10505858</v>
      </c>
      <c r="M334" s="180">
        <f t="shared" si="134"/>
        <v>323580934</v>
      </c>
      <c r="N334" s="180">
        <f t="shared" si="134"/>
        <v>431319</v>
      </c>
      <c r="O334" s="180">
        <f t="shared" si="134"/>
        <v>9857230</v>
      </c>
      <c r="P334" s="180">
        <f t="shared" si="134"/>
        <v>12814</v>
      </c>
      <c r="Q334" s="180">
        <f t="shared" si="134"/>
        <v>17816037</v>
      </c>
      <c r="R334" s="180">
        <f t="shared" si="134"/>
        <v>58317</v>
      </c>
      <c r="S334" s="180">
        <f t="shared" si="134"/>
        <v>293069</v>
      </c>
      <c r="T334" s="180">
        <f t="shared" si="134"/>
        <v>2796760</v>
      </c>
      <c r="U334" s="180">
        <f t="shared" si="134"/>
        <v>359031</v>
      </c>
      <c r="V334" s="180">
        <f t="shared" si="134"/>
        <v>6041952</v>
      </c>
      <c r="W334" s="180">
        <f t="shared" si="134"/>
        <v>1445174</v>
      </c>
      <c r="X334" s="180">
        <f t="shared" si="134"/>
        <v>366874</v>
      </c>
      <c r="Y334" s="180">
        <f t="shared" si="134"/>
        <v>1445917</v>
      </c>
      <c r="Z334" s="180">
        <f t="shared" si="134"/>
        <v>93728074</v>
      </c>
      <c r="AA334" s="180">
        <f t="shared" si="134"/>
        <v>639524</v>
      </c>
      <c r="AB334" s="180">
        <f t="shared" si="134"/>
        <v>67913</v>
      </c>
      <c r="AC334" s="180">
        <f t="shared" si="134"/>
        <v>105607811</v>
      </c>
      <c r="AD334" s="180">
        <f t="shared" si="134"/>
        <v>0</v>
      </c>
      <c r="AE334" s="180">
        <f t="shared" si="134"/>
        <v>0</v>
      </c>
      <c r="AF334" s="180">
        <f t="shared" si="134"/>
        <v>235754201</v>
      </c>
      <c r="AG334" s="180">
        <f t="shared" si="134"/>
        <v>31265</v>
      </c>
      <c r="AH334" s="180">
        <f t="shared" si="134"/>
        <v>150008</v>
      </c>
      <c r="AI334" s="180">
        <f t="shared" si="134"/>
        <v>7502687</v>
      </c>
      <c r="AJ334" s="180">
        <f t="shared" si="134"/>
        <v>372465</v>
      </c>
      <c r="AK334" s="180">
        <f t="shared" si="134"/>
        <v>46065</v>
      </c>
      <c r="AL334" s="180">
        <f t="shared" si="134"/>
        <v>59875377</v>
      </c>
      <c r="AM334" s="180">
        <f t="shared" si="134"/>
        <v>22892</v>
      </c>
      <c r="AN334" s="180">
        <f t="shared" si="134"/>
        <v>26394287</v>
      </c>
      <c r="AO334" s="180">
        <f t="shared" si="134"/>
        <v>9518</v>
      </c>
      <c r="AP334" s="180">
        <f t="shared" si="134"/>
        <v>2475734</v>
      </c>
      <c r="AQ334" s="180">
        <f t="shared" si="134"/>
        <v>1307498</v>
      </c>
      <c r="AR334" s="180">
        <f t="shared" si="134"/>
        <v>52386</v>
      </c>
      <c r="AS334" s="180">
        <f t="shared" si="134"/>
        <v>1955995</v>
      </c>
      <c r="AT334" s="180">
        <f t="shared" si="134"/>
        <v>408633</v>
      </c>
      <c r="AU334" s="180">
        <f t="shared" si="134"/>
        <v>769109003</v>
      </c>
      <c r="AV334" s="180">
        <f t="shared" si="134"/>
        <v>213417696</v>
      </c>
      <c r="AW334" s="180">
        <f t="shared" si="134"/>
        <v>2528554</v>
      </c>
      <c r="AX334" s="180">
        <f t="shared" si="134"/>
        <v>157366</v>
      </c>
      <c r="AY334" s="180">
        <f t="shared" si="134"/>
        <v>78368</v>
      </c>
      <c r="AZ334" s="180">
        <f t="shared" si="134"/>
        <v>0</v>
      </c>
      <c r="BA334" s="180">
        <f t="shared" si="134"/>
        <v>60527</v>
      </c>
      <c r="BB334" s="180">
        <f t="shared" si="134"/>
        <v>12283773</v>
      </c>
      <c r="BC334" s="180">
        <f t="shared" si="134"/>
        <v>6927</v>
      </c>
      <c r="BD334" s="180">
        <f t="shared" si="134"/>
        <v>71588</v>
      </c>
      <c r="BE334" s="180">
        <f t="shared" si="134"/>
        <v>3414</v>
      </c>
      <c r="BF334" s="180">
        <f t="shared" si="134"/>
        <v>28008839</v>
      </c>
      <c r="BG334" s="180">
        <f t="shared" si="134"/>
        <v>0</v>
      </c>
      <c r="BH334" s="180">
        <f t="shared" si="134"/>
        <v>20251679</v>
      </c>
      <c r="BI334" s="180">
        <f t="shared" si="134"/>
        <v>8098872</v>
      </c>
      <c r="BJ334" s="180">
        <f t="shared" si="134"/>
        <v>102784</v>
      </c>
      <c r="BK334" s="180">
        <f t="shared" si="134"/>
        <v>50410</v>
      </c>
      <c r="BL334" s="180">
        <f t="shared" si="134"/>
        <v>25154844</v>
      </c>
      <c r="BM334" s="180">
        <f t="shared" si="134"/>
        <v>58235740</v>
      </c>
      <c r="BN334" s="180">
        <f t="shared" si="134"/>
        <v>1607029</v>
      </c>
      <c r="BO334" s="180">
        <f t="shared" si="134"/>
        <v>133809306</v>
      </c>
      <c r="BP334" s="180">
        <f t="shared" si="134"/>
        <v>229661653</v>
      </c>
      <c r="BQ334" s="180">
        <f t="shared" si="130"/>
        <v>9792</v>
      </c>
      <c r="BR334" s="180">
        <f t="shared" si="130"/>
        <v>22544625</v>
      </c>
      <c r="BS334" s="180">
        <f t="shared" ref="BS334:CD334" si="135">BS262</f>
        <v>621190</v>
      </c>
      <c r="BT334" s="180">
        <f t="shared" si="135"/>
        <v>10134614</v>
      </c>
      <c r="BU334" s="180">
        <f t="shared" si="135"/>
        <v>423953</v>
      </c>
      <c r="BV334" s="180">
        <f t="shared" si="135"/>
        <v>124556</v>
      </c>
      <c r="BW334" s="180">
        <f t="shared" si="135"/>
        <v>10956400</v>
      </c>
      <c r="BX334" s="180">
        <f t="shared" si="135"/>
        <v>3298240</v>
      </c>
      <c r="BY334" s="180">
        <f t="shared" si="135"/>
        <v>118886981</v>
      </c>
      <c r="BZ334" s="180">
        <f t="shared" si="135"/>
        <v>80757</v>
      </c>
      <c r="CA334" s="180">
        <f t="shared" si="135"/>
        <v>46993771</v>
      </c>
      <c r="CB334" s="180">
        <f t="shared" si="135"/>
        <v>203442</v>
      </c>
      <c r="CC334" s="180">
        <f t="shared" si="135"/>
        <v>2657411</v>
      </c>
      <c r="CD334" s="180">
        <f t="shared" si="135"/>
        <v>84378183</v>
      </c>
    </row>
    <row r="335" spans="1:104" x14ac:dyDescent="0.3">
      <c r="BS335" s="180"/>
      <c r="BT335" s="180"/>
      <c r="BU335" s="180"/>
      <c r="BV335" s="180"/>
      <c r="BW335" s="180"/>
      <c r="BX335" s="180"/>
      <c r="BY335" s="180"/>
      <c r="BZ335" s="180"/>
      <c r="CA335" s="180"/>
      <c r="CB335" s="180"/>
      <c r="CC335" s="180"/>
      <c r="CD335" s="180"/>
    </row>
    <row r="336" spans="1:104" x14ac:dyDescent="0.3">
      <c r="E336" s="568">
        <f>E329+E332+E333+E334</f>
        <v>101540938.73999999</v>
      </c>
      <c r="F336" s="568">
        <f t="shared" ref="F336:BQ336" si="136">F329+F332+F333+F334</f>
        <v>15394104.6</v>
      </c>
      <c r="G336" s="568">
        <f t="shared" si="136"/>
        <v>74462588.61999999</v>
      </c>
      <c r="H336" s="568">
        <f t="shared" si="136"/>
        <v>51500151.719999999</v>
      </c>
      <c r="I336" s="568">
        <f t="shared" si="136"/>
        <v>10513427.220000001</v>
      </c>
      <c r="J336" s="568">
        <f t="shared" si="136"/>
        <v>1569165.33</v>
      </c>
      <c r="K336" s="568">
        <f t="shared" si="136"/>
        <v>30934708.569999997</v>
      </c>
      <c r="L336" s="568">
        <f t="shared" si="136"/>
        <v>426065273.45000005</v>
      </c>
      <c r="M336" s="568">
        <f t="shared" si="136"/>
        <v>5221887036.5594997</v>
      </c>
      <c r="N336" s="568">
        <f t="shared" si="136"/>
        <v>60498246.130000003</v>
      </c>
      <c r="O336" s="568">
        <f t="shared" si="136"/>
        <v>223081938.66999999</v>
      </c>
      <c r="P336" s="568">
        <f t="shared" si="136"/>
        <v>16410822.134</v>
      </c>
      <c r="Q336" s="568">
        <f>Q329+Q332+Q333+Q334</f>
        <v>719248956.55999994</v>
      </c>
      <c r="R336" s="568">
        <f t="shared" si="136"/>
        <v>3558989.29</v>
      </c>
      <c r="S336" s="568">
        <f t="shared" si="136"/>
        <v>46736161.317499995</v>
      </c>
      <c r="T336" s="568">
        <f t="shared" si="136"/>
        <v>87198274.909999996</v>
      </c>
      <c r="U336" s="568">
        <f t="shared" si="136"/>
        <v>49904269.910000004</v>
      </c>
      <c r="V336" s="568">
        <f t="shared" si="136"/>
        <v>340596495.25</v>
      </c>
      <c r="W336" s="568">
        <f t="shared" si="136"/>
        <v>43304377.710000001</v>
      </c>
      <c r="X336" s="568">
        <f t="shared" si="136"/>
        <v>44924641.865000002</v>
      </c>
      <c r="Y336" s="568">
        <f t="shared" si="136"/>
        <v>88262555.019999996</v>
      </c>
      <c r="Z336" s="568">
        <f t="shared" si="136"/>
        <v>2833802183.0549998</v>
      </c>
      <c r="AA336" s="568">
        <f t="shared" si="136"/>
        <v>82747018</v>
      </c>
      <c r="AB336" s="568">
        <f t="shared" si="136"/>
        <v>38289892.359999999</v>
      </c>
      <c r="AC336" s="568">
        <f t="shared" si="136"/>
        <v>1313054038.0620999</v>
      </c>
      <c r="AD336" s="568">
        <f t="shared" si="136"/>
        <v>18079462.52</v>
      </c>
      <c r="AE336" s="568">
        <f t="shared" si="136"/>
        <v>0</v>
      </c>
      <c r="AF336" s="568">
        <f t="shared" si="136"/>
        <v>5496359557.9099998</v>
      </c>
      <c r="AG336" s="568">
        <f t="shared" si="136"/>
        <v>12008940.710000001</v>
      </c>
      <c r="AH336" s="568">
        <f t="shared" si="136"/>
        <v>13243418.790000001</v>
      </c>
      <c r="AI336" s="568">
        <f t="shared" si="136"/>
        <v>217889112.54000002</v>
      </c>
      <c r="AJ336" s="568">
        <f t="shared" si="136"/>
        <v>32600084.789999999</v>
      </c>
      <c r="AK336" s="568">
        <f t="shared" si="136"/>
        <v>19146772.359999999</v>
      </c>
      <c r="AL336" s="568">
        <f t="shared" si="136"/>
        <v>1714276929.1100001</v>
      </c>
      <c r="AM336" s="568">
        <f t="shared" si="136"/>
        <v>51270447.890000001</v>
      </c>
      <c r="AN336" s="568">
        <f t="shared" si="136"/>
        <v>782742083.65999997</v>
      </c>
      <c r="AO336" s="568">
        <f t="shared" si="136"/>
        <v>1758370</v>
      </c>
      <c r="AP336" s="568">
        <f t="shared" si="136"/>
        <v>343921807.72000003</v>
      </c>
      <c r="AQ336" s="568">
        <f t="shared" si="136"/>
        <v>65211353.929999992</v>
      </c>
      <c r="AR336" s="568">
        <f t="shared" si="136"/>
        <v>184190.02000000002</v>
      </c>
      <c r="AS336" s="568">
        <f t="shared" si="136"/>
        <v>91754669.449999988</v>
      </c>
      <c r="AT336" s="568">
        <f t="shared" si="136"/>
        <v>35699032.539999999</v>
      </c>
      <c r="AU336" s="568">
        <f t="shared" si="136"/>
        <v>15140170277.3894</v>
      </c>
      <c r="AV336" s="568">
        <f t="shared" si="136"/>
        <v>7098261235.1894999</v>
      </c>
      <c r="AW336" s="568">
        <f t="shared" si="136"/>
        <v>90483258.5</v>
      </c>
      <c r="AX336" s="568">
        <f t="shared" si="136"/>
        <v>24051336.859999999</v>
      </c>
      <c r="AY336" s="568">
        <f t="shared" si="136"/>
        <v>23506943.82</v>
      </c>
      <c r="AZ336" s="568">
        <f t="shared" si="136"/>
        <v>0</v>
      </c>
      <c r="BA336" s="568">
        <f t="shared" si="136"/>
        <v>35947643.379999995</v>
      </c>
      <c r="BB336" s="568">
        <f t="shared" si="136"/>
        <v>239499717.51000002</v>
      </c>
      <c r="BC336" s="568">
        <f t="shared" si="136"/>
        <v>30545242.969999999</v>
      </c>
      <c r="BD336" s="568">
        <f t="shared" si="136"/>
        <v>4342001.63</v>
      </c>
      <c r="BE336" s="568">
        <f t="shared" si="136"/>
        <v>8853782.1300000008</v>
      </c>
      <c r="BF336" s="568">
        <f t="shared" si="136"/>
        <v>827683711.95000005</v>
      </c>
      <c r="BG336" s="568">
        <f t="shared" si="136"/>
        <v>1127954.29</v>
      </c>
      <c r="BH336" s="568">
        <f t="shared" si="136"/>
        <v>598254193.13999999</v>
      </c>
      <c r="BI336" s="568">
        <f t="shared" si="136"/>
        <v>101618812.52000001</v>
      </c>
      <c r="BJ336" s="568">
        <f t="shared" si="136"/>
        <v>10527785.975</v>
      </c>
      <c r="BK336" s="568">
        <f t="shared" si="136"/>
        <v>4919242</v>
      </c>
      <c r="BL336" s="568">
        <f t="shared" si="136"/>
        <v>1105526658.2720001</v>
      </c>
      <c r="BM336" s="568">
        <f t="shared" si="136"/>
        <v>1475277917.1700001</v>
      </c>
      <c r="BN336" s="568">
        <f t="shared" si="136"/>
        <v>160478812.495</v>
      </c>
      <c r="BO336" s="568">
        <f t="shared" si="136"/>
        <v>2890482030.25</v>
      </c>
      <c r="BP336" s="568">
        <f t="shared" si="136"/>
        <v>8297469686.9375</v>
      </c>
      <c r="BQ336" s="568">
        <f t="shared" si="136"/>
        <v>44545706.440000005</v>
      </c>
      <c r="BR336" s="568">
        <f t="shared" ref="BR336:CD336" si="137">BR329+BR332+BR333+BR334</f>
        <v>485900776.87699997</v>
      </c>
      <c r="BS336" s="568">
        <f t="shared" si="137"/>
        <v>43753217.990000002</v>
      </c>
      <c r="BT336" s="568">
        <f t="shared" si="137"/>
        <v>788183254.51699996</v>
      </c>
      <c r="BU336" s="568">
        <f t="shared" si="137"/>
        <v>33185332.599999998</v>
      </c>
      <c r="BV336" s="568">
        <f t="shared" si="137"/>
        <v>21654235.5</v>
      </c>
      <c r="BW336" s="568">
        <f t="shared" si="137"/>
        <v>345250877.38999999</v>
      </c>
      <c r="BX336" s="568">
        <f t="shared" si="137"/>
        <v>87141751.409999996</v>
      </c>
      <c r="BY336" s="568">
        <f t="shared" si="137"/>
        <v>2724579860.2516003</v>
      </c>
      <c r="BZ336" s="568">
        <f t="shared" si="137"/>
        <v>40580583.605000004</v>
      </c>
      <c r="CA336" s="568">
        <f t="shared" si="137"/>
        <v>393309026.80000001</v>
      </c>
      <c r="CB336" s="568">
        <f t="shared" si="137"/>
        <v>29987219.340000004</v>
      </c>
      <c r="CC336" s="568">
        <f t="shared" si="137"/>
        <v>76977215.659999996</v>
      </c>
      <c r="CD336" s="568">
        <f t="shared" si="137"/>
        <v>1938320834.6100001</v>
      </c>
    </row>
    <row r="338" spans="1:82" s="1050" customFormat="1" x14ac:dyDescent="0.3">
      <c r="A338" s="1049"/>
      <c r="C338" s="1050" t="s">
        <v>2749</v>
      </c>
      <c r="E338" s="1052">
        <v>101540938.73999998</v>
      </c>
      <c r="L338" s="1050">
        <v>426065273.44999993</v>
      </c>
      <c r="M338" s="1052">
        <v>5221887036.5595007</v>
      </c>
      <c r="Q338" s="1050">
        <v>719248956.56000006</v>
      </c>
      <c r="AF338" s="1052">
        <v>5496359557.9099998</v>
      </c>
      <c r="BE338" s="1052"/>
      <c r="BT338" s="1056">
        <v>788183254.51700008</v>
      </c>
      <c r="CD338" s="1052">
        <v>1938320834.6100001</v>
      </c>
    </row>
    <row r="339" spans="1:82" s="180" customFormat="1" x14ac:dyDescent="0.3">
      <c r="A339" s="155"/>
      <c r="E339" s="1044"/>
      <c r="Q339" s="1046"/>
      <c r="BR339" s="568"/>
    </row>
    <row r="340" spans="1:82" s="180" customFormat="1" x14ac:dyDescent="0.3">
      <c r="A340" s="155"/>
      <c r="L340" s="1034">
        <f>L336-L338</f>
        <v>0</v>
      </c>
      <c r="M340" s="1034">
        <f>M336-M338</f>
        <v>0</v>
      </c>
      <c r="Q340" s="1044">
        <f>Q336-Q338</f>
        <v>0</v>
      </c>
      <c r="AF340" s="568">
        <f>AF336-AF338</f>
        <v>0</v>
      </c>
      <c r="BE340" s="568">
        <f>BE336-BE338</f>
        <v>8853782.1300000008</v>
      </c>
      <c r="BT340" s="1044">
        <f>BT336-BT338</f>
        <v>0</v>
      </c>
    </row>
    <row r="341" spans="1:82" s="180" customFormat="1" x14ac:dyDescent="0.3">
      <c r="A341" s="155"/>
      <c r="Q341" s="526"/>
      <c r="R341" s="568"/>
    </row>
    <row r="342" spans="1:82" s="180" customFormat="1" x14ac:dyDescent="0.3">
      <c r="A342" s="155"/>
      <c r="Q342" s="1044"/>
    </row>
    <row r="343" spans="1:82" s="180" customFormat="1" x14ac:dyDescent="0.3">
      <c r="A343" s="155"/>
      <c r="Q343" s="1044"/>
    </row>
    <row r="344" spans="1:82" s="180" customFormat="1" x14ac:dyDescent="0.3">
      <c r="A344" s="155"/>
      <c r="Q344" s="1044"/>
    </row>
    <row r="345" spans="1:82" s="1050" customFormat="1" x14ac:dyDescent="0.3">
      <c r="A345" s="1049"/>
      <c r="C345" s="1050" t="s">
        <v>2744</v>
      </c>
      <c r="D345" s="1052">
        <v>0</v>
      </c>
      <c r="E345" s="1052">
        <v>104297597.75</v>
      </c>
      <c r="F345" s="1052">
        <v>15598247.6</v>
      </c>
      <c r="G345" s="1052">
        <v>76270845.629999995</v>
      </c>
      <c r="H345" s="1052">
        <v>53078810.729999997</v>
      </c>
      <c r="I345" s="1052">
        <v>10804437.23</v>
      </c>
      <c r="J345" s="1052">
        <v>1620538.33</v>
      </c>
      <c r="K345" s="1052">
        <v>31511700.579999998</v>
      </c>
      <c r="L345" s="1052">
        <v>440845726.54000002</v>
      </c>
      <c r="M345" s="1052">
        <v>5382203050.6499996</v>
      </c>
      <c r="N345" s="1052">
        <v>61068815.130000003</v>
      </c>
      <c r="O345" s="1052">
        <v>231985299.66999999</v>
      </c>
      <c r="P345" s="1052">
        <v>16551138.140000001</v>
      </c>
      <c r="Q345" s="1052">
        <v>758267246.65999997</v>
      </c>
      <c r="R345" s="1052">
        <v>3625828.29</v>
      </c>
      <c r="S345" s="1052">
        <v>48375422.420000002</v>
      </c>
      <c r="T345" s="1052">
        <v>91479461.920000002</v>
      </c>
      <c r="U345" s="1052">
        <v>51577437.920000002</v>
      </c>
      <c r="V345" s="1052">
        <v>352752498.25999999</v>
      </c>
      <c r="W345" s="1052">
        <v>44118927.710000001</v>
      </c>
      <c r="X345" s="1052">
        <v>45522998.880000003</v>
      </c>
      <c r="Y345" s="1052">
        <v>90393574.109999999</v>
      </c>
      <c r="Z345" s="1052">
        <v>2932837248.0999999</v>
      </c>
      <c r="AA345" s="1052">
        <v>84968718.010000005</v>
      </c>
      <c r="AB345" s="1052">
        <v>39191530.369999997</v>
      </c>
      <c r="AC345" s="1052">
        <v>1351053632.0599999</v>
      </c>
      <c r="AD345" s="1052">
        <v>18275995.52</v>
      </c>
      <c r="AE345" s="1052">
        <v>0</v>
      </c>
      <c r="AF345" s="1052">
        <v>5679288715.9899998</v>
      </c>
      <c r="AG345" s="1052">
        <v>12090441.710000001</v>
      </c>
      <c r="AH345" s="1052">
        <v>13382620.800000001</v>
      </c>
      <c r="AI345" s="1052">
        <v>225254632.55000001</v>
      </c>
      <c r="AJ345" s="1052">
        <v>33048525.800000001</v>
      </c>
      <c r="AK345" s="1052">
        <v>21619947.370000001</v>
      </c>
      <c r="AL345" s="1052">
        <v>1766882459.1700001</v>
      </c>
      <c r="AM345" s="1052">
        <v>55252460.899999999</v>
      </c>
      <c r="AN345" s="1052">
        <v>826051619.66999996</v>
      </c>
      <c r="AO345" s="1052">
        <v>1822317</v>
      </c>
      <c r="AP345" s="1052">
        <v>361467764.80000001</v>
      </c>
      <c r="AQ345" s="1052">
        <v>65797826.350000001</v>
      </c>
      <c r="AR345" s="1052">
        <v>235558.02</v>
      </c>
      <c r="AS345" s="1052">
        <v>94377164.459999993</v>
      </c>
      <c r="AT345" s="1052">
        <v>36746318.549999997</v>
      </c>
      <c r="AU345" s="1052">
        <v>15615887879.440001</v>
      </c>
      <c r="AV345" s="1052">
        <v>7280441014.2799997</v>
      </c>
      <c r="AW345" s="1052">
        <v>93779412.510000005</v>
      </c>
      <c r="AX345" s="1052">
        <v>24368271.870000001</v>
      </c>
      <c r="AY345" s="1052">
        <v>23812613.850000001</v>
      </c>
      <c r="AZ345" s="1052">
        <v>20634688.260000002</v>
      </c>
      <c r="BA345" s="1052">
        <v>37070653.469999999</v>
      </c>
      <c r="BB345" s="1052">
        <v>245492071.52000001</v>
      </c>
      <c r="BC345" s="1052">
        <v>31005903.98</v>
      </c>
      <c r="BD345" s="1052">
        <v>4401985.63</v>
      </c>
      <c r="BE345" s="1052">
        <v>9134231.1400000006</v>
      </c>
      <c r="BF345" s="1052">
        <v>845296652.96000004</v>
      </c>
      <c r="BG345" s="1052">
        <v>1190345.29</v>
      </c>
      <c r="BH345" s="1052">
        <v>616730303.14999998</v>
      </c>
      <c r="BI345" s="1052">
        <v>104289786.53</v>
      </c>
      <c r="BJ345" s="1052">
        <v>10590276.98</v>
      </c>
      <c r="BK345" s="1052">
        <v>5020309</v>
      </c>
      <c r="BL345" s="1052">
        <v>1150909458.03</v>
      </c>
      <c r="BM345" s="1052">
        <v>1555896701.1800001</v>
      </c>
      <c r="BN345" s="1052">
        <v>167521209.59</v>
      </c>
      <c r="BO345" s="1052">
        <v>3008801424.2600002</v>
      </c>
      <c r="BP345" s="1052">
        <v>8627740063.0200005</v>
      </c>
      <c r="BQ345" s="1052">
        <v>49355129.450000003</v>
      </c>
      <c r="BR345" s="1052">
        <v>499628471.98000002</v>
      </c>
      <c r="BS345" s="1052">
        <v>44194725.990000002</v>
      </c>
      <c r="BT345" s="1052">
        <v>808799869.52999997</v>
      </c>
      <c r="BU345" s="1052">
        <v>34008274.689999998</v>
      </c>
      <c r="BV345" s="1052">
        <v>21816695.510000002</v>
      </c>
      <c r="BW345" s="1052">
        <v>352500997.39999998</v>
      </c>
      <c r="BX345" s="1052">
        <v>91569745.409999996</v>
      </c>
      <c r="BY345" s="1052">
        <v>2819156178.2600002</v>
      </c>
      <c r="BZ345" s="1052">
        <v>45843850.700000003</v>
      </c>
      <c r="CA345" s="1052">
        <v>418009654.80000001</v>
      </c>
      <c r="CB345" s="1052">
        <v>30791182.350000001</v>
      </c>
      <c r="CC345" s="1052">
        <v>78183698.659999996</v>
      </c>
      <c r="CD345" s="1052">
        <v>2003537257.6800001</v>
      </c>
    </row>
    <row r="347" spans="1:82" s="558" customFormat="1" x14ac:dyDescent="0.3">
      <c r="A347" s="557"/>
      <c r="D347" s="783">
        <f>D259-D345</f>
        <v>50179.01</v>
      </c>
      <c r="E347" s="783">
        <f t="shared" ref="E347:AJ347" si="138">E259-E345</f>
        <v>0</v>
      </c>
      <c r="F347" s="783">
        <f t="shared" si="138"/>
        <v>0</v>
      </c>
      <c r="G347" s="783">
        <f t="shared" si="138"/>
        <v>0</v>
      </c>
      <c r="H347" s="783">
        <f t="shared" si="138"/>
        <v>0</v>
      </c>
      <c r="I347" s="783">
        <f t="shared" si="138"/>
        <v>0</v>
      </c>
      <c r="J347" s="783">
        <f t="shared" si="138"/>
        <v>0</v>
      </c>
      <c r="K347" s="783">
        <f t="shared" si="138"/>
        <v>0</v>
      </c>
      <c r="L347" s="783">
        <f t="shared" si="138"/>
        <v>0</v>
      </c>
      <c r="M347" s="1034">
        <f t="shared" si="138"/>
        <v>-9.04998779296875E-2</v>
      </c>
      <c r="N347" s="783">
        <f t="shared" si="138"/>
        <v>0</v>
      </c>
      <c r="O347" s="783">
        <f t="shared" si="138"/>
        <v>0</v>
      </c>
      <c r="P347" s="783">
        <f t="shared" si="138"/>
        <v>3.9999987930059433E-3</v>
      </c>
      <c r="Q347" s="783">
        <f t="shared" si="138"/>
        <v>0</v>
      </c>
      <c r="R347" s="783">
        <f t="shared" si="138"/>
        <v>0</v>
      </c>
      <c r="S347" s="783">
        <f t="shared" si="138"/>
        <v>-2.5000050663948059E-3</v>
      </c>
      <c r="T347" s="783">
        <f t="shared" si="138"/>
        <v>0</v>
      </c>
      <c r="U347" s="783">
        <f t="shared" si="138"/>
        <v>0</v>
      </c>
      <c r="V347" s="783">
        <f t="shared" si="138"/>
        <v>0</v>
      </c>
      <c r="W347" s="783">
        <f t="shared" si="138"/>
        <v>0</v>
      </c>
      <c r="X347" s="1034">
        <f t="shared" si="138"/>
        <v>-5.0000026822090149E-3</v>
      </c>
      <c r="Y347" s="783">
        <f t="shared" si="138"/>
        <v>0</v>
      </c>
      <c r="Z347" s="1034">
        <f t="shared" si="138"/>
        <v>-5.0001144409179688E-3</v>
      </c>
      <c r="AA347" s="783">
        <f t="shared" si="138"/>
        <v>0</v>
      </c>
      <c r="AB347" s="783">
        <f t="shared" si="138"/>
        <v>0</v>
      </c>
      <c r="AC347" s="783">
        <f t="shared" si="138"/>
        <v>-0.99790000915527344</v>
      </c>
      <c r="AD347" s="783">
        <f t="shared" si="138"/>
        <v>0</v>
      </c>
      <c r="AE347" s="783">
        <f t="shared" si="138"/>
        <v>50198</v>
      </c>
      <c r="AF347" s="783">
        <f t="shared" si="138"/>
        <v>0</v>
      </c>
      <c r="AG347" s="783">
        <f t="shared" si="138"/>
        <v>0</v>
      </c>
      <c r="AH347" s="783">
        <f t="shared" si="138"/>
        <v>0</v>
      </c>
      <c r="AI347" s="783">
        <f t="shared" si="138"/>
        <v>0</v>
      </c>
      <c r="AJ347" s="783">
        <f t="shared" si="138"/>
        <v>0</v>
      </c>
      <c r="AK347" s="783">
        <f t="shared" ref="AK347:CD347" si="139">AK259-AK345</f>
        <v>0</v>
      </c>
      <c r="AL347" s="783">
        <f t="shared" si="139"/>
        <v>0</v>
      </c>
      <c r="AM347" s="783">
        <f t="shared" si="139"/>
        <v>0</v>
      </c>
      <c r="AN347" s="783">
        <f t="shared" si="139"/>
        <v>0</v>
      </c>
      <c r="AO347" s="783">
        <f t="shared" si="139"/>
        <v>0</v>
      </c>
      <c r="AP347" s="783">
        <f t="shared" si="139"/>
        <v>0</v>
      </c>
      <c r="AQ347" s="783">
        <f t="shared" si="139"/>
        <v>-2.5000050663948059E-3</v>
      </c>
      <c r="AR347" s="783">
        <f t="shared" si="139"/>
        <v>0</v>
      </c>
      <c r="AS347" s="783">
        <f t="shared" si="139"/>
        <v>0</v>
      </c>
      <c r="AT347" s="783">
        <f t="shared" si="139"/>
        <v>0</v>
      </c>
      <c r="AU347" s="783">
        <f t="shared" si="139"/>
        <v>-6.008148193359375E-4</v>
      </c>
      <c r="AV347" s="783">
        <f t="shared" si="139"/>
        <v>-4.99725341796875E-4</v>
      </c>
      <c r="AW347" s="783">
        <f t="shared" si="139"/>
        <v>0</v>
      </c>
      <c r="AX347" s="783">
        <f t="shared" si="139"/>
        <v>0</v>
      </c>
      <c r="AY347" s="783">
        <f t="shared" si="139"/>
        <v>0</v>
      </c>
      <c r="AZ347" s="783">
        <f t="shared" si="139"/>
        <v>-20584473.25</v>
      </c>
      <c r="BA347" s="783">
        <f t="shared" si="139"/>
        <v>0</v>
      </c>
      <c r="BB347" s="783">
        <f t="shared" si="139"/>
        <v>0</v>
      </c>
      <c r="BC347" s="783">
        <f t="shared" si="139"/>
        <v>0</v>
      </c>
      <c r="BD347" s="783">
        <f t="shared" si="139"/>
        <v>0</v>
      </c>
      <c r="BE347" s="783">
        <f t="shared" si="139"/>
        <v>0</v>
      </c>
      <c r="BF347" s="783">
        <f t="shared" si="139"/>
        <v>0</v>
      </c>
      <c r="BG347" s="783">
        <f t="shared" si="139"/>
        <v>0</v>
      </c>
      <c r="BH347" s="783">
        <f t="shared" si="139"/>
        <v>0</v>
      </c>
      <c r="BI347" s="783">
        <f t="shared" si="139"/>
        <v>0</v>
      </c>
      <c r="BJ347" s="1034">
        <f>BJ259-BJ345</f>
        <v>-5.0000008195638657E-3</v>
      </c>
      <c r="BK347" s="783">
        <f t="shared" si="139"/>
        <v>0</v>
      </c>
      <c r="BL347" s="783">
        <f t="shared" si="139"/>
        <v>2.0000934600830078E-3</v>
      </c>
      <c r="BM347" s="783">
        <f t="shared" si="139"/>
        <v>0</v>
      </c>
      <c r="BN347" s="783">
        <f t="shared" si="139"/>
        <v>-4.999995231628418E-3</v>
      </c>
      <c r="BO347" s="783">
        <f t="shared" si="139"/>
        <v>0</v>
      </c>
      <c r="BP347" s="783">
        <f t="shared" si="139"/>
        <v>-2.5005340576171875E-3</v>
      </c>
      <c r="BQ347" s="783">
        <f t="shared" si="139"/>
        <v>0</v>
      </c>
      <c r="BR347" s="783">
        <f t="shared" si="139"/>
        <v>-3.0000209808349609E-3</v>
      </c>
      <c r="BS347" s="783">
        <f t="shared" si="139"/>
        <v>0</v>
      </c>
      <c r="BT347" s="783">
        <f t="shared" si="139"/>
        <v>-3.0000209808349609E-3</v>
      </c>
      <c r="BU347" s="783">
        <f t="shared" si="139"/>
        <v>0</v>
      </c>
      <c r="BV347" s="783">
        <f t="shared" si="139"/>
        <v>0</v>
      </c>
      <c r="BW347" s="783">
        <f t="shared" si="139"/>
        <v>0</v>
      </c>
      <c r="BX347" s="783">
        <f t="shared" si="139"/>
        <v>0</v>
      </c>
      <c r="BY347" s="783">
        <f t="shared" si="139"/>
        <v>1.5997886657714844E-3</v>
      </c>
      <c r="BZ347" s="783">
        <f t="shared" si="139"/>
        <v>-5.0000026822090149E-3</v>
      </c>
      <c r="CA347" s="783">
        <f t="shared" si="139"/>
        <v>0</v>
      </c>
      <c r="CB347" s="783">
        <f t="shared" si="139"/>
        <v>0</v>
      </c>
      <c r="CC347" s="783">
        <f t="shared" si="139"/>
        <v>0</v>
      </c>
      <c r="CD347" s="783">
        <f t="shared" si="139"/>
        <v>0</v>
      </c>
    </row>
    <row r="349" spans="1:82" x14ac:dyDescent="0.3">
      <c r="X349" s="180" t="s">
        <v>2747</v>
      </c>
      <c r="Z349" s="180" t="s">
        <v>2747</v>
      </c>
      <c r="AC349" t="s">
        <v>2746</v>
      </c>
      <c r="AZ349" t="s">
        <v>2748</v>
      </c>
    </row>
    <row r="350" spans="1:82" x14ac:dyDescent="0.3">
      <c r="M350" s="568">
        <v>80235001</v>
      </c>
      <c r="X350" t="s">
        <v>2745</v>
      </c>
      <c r="Z350" s="180" t="s">
        <v>2745</v>
      </c>
      <c r="AC350" t="s">
        <v>2745</v>
      </c>
    </row>
    <row r="351" spans="1:82" x14ac:dyDescent="0.3">
      <c r="M351" s="568">
        <v>27642374</v>
      </c>
    </row>
    <row r="352" spans="1:82" x14ac:dyDescent="0.3">
      <c r="M352" s="568">
        <v>0</v>
      </c>
    </row>
    <row r="353" spans="13:13" x14ac:dyDescent="0.3">
      <c r="M353" s="568">
        <v>18613402</v>
      </c>
    </row>
    <row r="354" spans="13:13" x14ac:dyDescent="0.3">
      <c r="M354" s="568">
        <v>228038908</v>
      </c>
    </row>
    <row r="355" spans="13:13" x14ac:dyDescent="0.3">
      <c r="M355" s="568">
        <v>88487635</v>
      </c>
    </row>
    <row r="356" spans="13:13" x14ac:dyDescent="0.3">
      <c r="M356" s="568">
        <v>588572586</v>
      </c>
    </row>
    <row r="357" spans="13:13" x14ac:dyDescent="0.3">
      <c r="M357" s="568">
        <v>100044909</v>
      </c>
    </row>
    <row r="358" spans="13:13" x14ac:dyDescent="0.3">
      <c r="M358" s="568">
        <v>0</v>
      </c>
    </row>
    <row r="359" spans="13:13" x14ac:dyDescent="0.3">
      <c r="M359" s="568">
        <v>35829896</v>
      </c>
    </row>
    <row r="360" spans="13:13" x14ac:dyDescent="0.3">
      <c r="M360" s="568">
        <v>0</v>
      </c>
    </row>
    <row r="361" spans="13:13" x14ac:dyDescent="0.3">
      <c r="M361" s="568">
        <v>1780913</v>
      </c>
    </row>
    <row r="362" spans="13:13" x14ac:dyDescent="0.3">
      <c r="M362" s="568">
        <v>0</v>
      </c>
    </row>
    <row r="363" spans="13:13" x14ac:dyDescent="0.3">
      <c r="M363" s="568">
        <v>9777328</v>
      </c>
    </row>
    <row r="364" spans="13:13" x14ac:dyDescent="0.3">
      <c r="M364" s="568">
        <v>0</v>
      </c>
    </row>
    <row r="365" spans="13:13" x14ac:dyDescent="0.3">
      <c r="M365" s="568">
        <v>776540</v>
      </c>
    </row>
    <row r="366" spans="13:13" x14ac:dyDescent="0.3">
      <c r="M366" s="568">
        <v>99055628</v>
      </c>
    </row>
    <row r="367" spans="13:13" x14ac:dyDescent="0.3">
      <c r="M367" s="568">
        <v>488527677</v>
      </c>
    </row>
    <row r="368" spans="13:13" x14ac:dyDescent="0.3">
      <c r="M368" s="568">
        <v>181492006</v>
      </c>
    </row>
    <row r="369" spans="13:14" x14ac:dyDescent="0.3">
      <c r="M369" s="568">
        <v>221262653</v>
      </c>
    </row>
    <row r="370" spans="13:14" x14ac:dyDescent="0.3">
      <c r="M370" s="568">
        <v>150685987</v>
      </c>
    </row>
    <row r="371" spans="13:14" x14ac:dyDescent="0.3">
      <c r="M371" s="568">
        <v>20984837</v>
      </c>
      <c r="N371">
        <v>52</v>
      </c>
    </row>
    <row r="372" spans="13:14" x14ac:dyDescent="0.3">
      <c r="M372" s="568">
        <v>221285490</v>
      </c>
    </row>
    <row r="373" spans="13:14" x14ac:dyDescent="0.3">
      <c r="M373" s="568">
        <v>919001</v>
      </c>
    </row>
    <row r="374" spans="13:14" x14ac:dyDescent="0.3">
      <c r="M374" s="568">
        <v>7330233</v>
      </c>
    </row>
    <row r="375" spans="13:14" x14ac:dyDescent="0.3">
      <c r="M375" s="568">
        <v>15549827</v>
      </c>
    </row>
    <row r="376" spans="13:14" x14ac:dyDescent="0.3">
      <c r="M376" s="568">
        <v>2514407</v>
      </c>
    </row>
    <row r="377" spans="13:14" x14ac:dyDescent="0.3">
      <c r="M377" s="568">
        <v>0</v>
      </c>
    </row>
    <row r="378" spans="13:14" x14ac:dyDescent="0.3">
      <c r="M378" s="568">
        <v>0</v>
      </c>
    </row>
    <row r="379" spans="13:14" x14ac:dyDescent="0.3">
      <c r="M379" s="568">
        <v>5487705</v>
      </c>
    </row>
    <row r="380" spans="13:14" x14ac:dyDescent="0.3">
      <c r="M380" s="568">
        <v>-11215729</v>
      </c>
      <c r="N380">
        <v>53</v>
      </c>
    </row>
    <row r="381" spans="13:14" x14ac:dyDescent="0.3">
      <c r="M381" s="568">
        <v>0</v>
      </c>
    </row>
    <row r="382" spans="13:14" x14ac:dyDescent="0.3">
      <c r="M382" s="568">
        <v>21008340</v>
      </c>
      <c r="N382">
        <v>55</v>
      </c>
    </row>
    <row r="383" spans="13:14" x14ac:dyDescent="0.3">
      <c r="M383" s="568">
        <v>28277996</v>
      </c>
    </row>
    <row r="384" spans="13:14" x14ac:dyDescent="0.3">
      <c r="M384" s="568">
        <v>1162602</v>
      </c>
    </row>
    <row r="385" spans="13:14" x14ac:dyDescent="0.3">
      <c r="M385" s="568">
        <v>43399696</v>
      </c>
    </row>
    <row r="386" spans="13:14" x14ac:dyDescent="0.3">
      <c r="M386" s="568">
        <v>678050754</v>
      </c>
    </row>
    <row r="387" spans="13:14" x14ac:dyDescent="0.3">
      <c r="M387" s="568">
        <v>382777634</v>
      </c>
    </row>
    <row r="388" spans="13:14" x14ac:dyDescent="0.3">
      <c r="M388" s="568">
        <v>0</v>
      </c>
    </row>
    <row r="389" spans="13:14" x14ac:dyDescent="0.3">
      <c r="M389" s="568">
        <v>0</v>
      </c>
    </row>
    <row r="390" spans="13:14" x14ac:dyDescent="0.3">
      <c r="M390" s="568">
        <v>0</v>
      </c>
    </row>
    <row r="391" spans="13:14" x14ac:dyDescent="0.3">
      <c r="M391" s="568">
        <v>0</v>
      </c>
    </row>
    <row r="392" spans="13:14" x14ac:dyDescent="0.3">
      <c r="M392" s="568">
        <v>8402649</v>
      </c>
    </row>
    <row r="393" spans="13:14" x14ac:dyDescent="0.3">
      <c r="M393" s="568">
        <v>139551273</v>
      </c>
      <c r="N393">
        <v>47</v>
      </c>
    </row>
    <row r="394" spans="13:14" x14ac:dyDescent="0.3">
      <c r="M394" s="568">
        <v>24271655</v>
      </c>
      <c r="N394">
        <v>48</v>
      </c>
    </row>
    <row r="395" spans="13:14" x14ac:dyDescent="0.3">
      <c r="M395" s="1053">
        <v>0.09</v>
      </c>
      <c r="N395">
        <v>995</v>
      </c>
    </row>
    <row r="396" spans="13:14" x14ac:dyDescent="0.3">
      <c r="M396" s="568">
        <v>3910581813.0900002</v>
      </c>
    </row>
    <row r="403" spans="13:14" x14ac:dyDescent="0.3">
      <c r="M403" s="1053">
        <v>80235001</v>
      </c>
      <c r="N403" s="1054">
        <v>80235001</v>
      </c>
    </row>
    <row r="404" spans="13:14" x14ac:dyDescent="0.3">
      <c r="M404" s="1053">
        <v>27642374</v>
      </c>
      <c r="N404" s="1054">
        <v>27642374</v>
      </c>
    </row>
    <row r="405" spans="13:14" x14ac:dyDescent="0.3">
      <c r="N405">
        <v>0</v>
      </c>
    </row>
    <row r="406" spans="13:14" x14ac:dyDescent="0.3">
      <c r="M406" s="1053">
        <v>18613402</v>
      </c>
      <c r="N406" s="1054">
        <v>18613402</v>
      </c>
    </row>
    <row r="407" spans="13:14" x14ac:dyDescent="0.3">
      <c r="M407" s="1053">
        <v>228038908</v>
      </c>
      <c r="N407" s="1054">
        <v>228038908</v>
      </c>
    </row>
    <row r="408" spans="13:14" x14ac:dyDescent="0.3">
      <c r="M408" s="1053">
        <v>88487635</v>
      </c>
      <c r="N408" s="1054">
        <v>88487635</v>
      </c>
    </row>
    <row r="409" spans="13:14" x14ac:dyDescent="0.3">
      <c r="M409" s="1053">
        <v>588572586</v>
      </c>
      <c r="N409" s="1054">
        <v>588572586</v>
      </c>
    </row>
    <row r="410" spans="13:14" x14ac:dyDescent="0.3">
      <c r="M410" s="1053">
        <v>100044909</v>
      </c>
      <c r="N410" s="1054">
        <v>100044909</v>
      </c>
    </row>
    <row r="411" spans="13:14" x14ac:dyDescent="0.3">
      <c r="N411">
        <v>0</v>
      </c>
    </row>
    <row r="412" spans="13:14" x14ac:dyDescent="0.3">
      <c r="M412" s="1053">
        <v>35829896</v>
      </c>
      <c r="N412" s="1054">
        <v>35829896</v>
      </c>
    </row>
    <row r="413" spans="13:14" x14ac:dyDescent="0.3">
      <c r="N413">
        <v>0</v>
      </c>
    </row>
    <row r="414" spans="13:14" x14ac:dyDescent="0.3">
      <c r="M414" s="1053">
        <v>1780913</v>
      </c>
      <c r="N414" s="1054">
        <v>1780913</v>
      </c>
    </row>
    <row r="415" spans="13:14" x14ac:dyDescent="0.3">
      <c r="N415">
        <v>0</v>
      </c>
    </row>
    <row r="416" spans="13:14" x14ac:dyDescent="0.3">
      <c r="M416" s="1053">
        <v>9777328</v>
      </c>
      <c r="N416" s="1054">
        <v>9777328</v>
      </c>
    </row>
    <row r="417" spans="13:15" x14ac:dyDescent="0.3">
      <c r="N417">
        <v>0</v>
      </c>
    </row>
    <row r="418" spans="13:15" x14ac:dyDescent="0.3">
      <c r="M418" s="1053">
        <v>776540</v>
      </c>
      <c r="N418" s="1054">
        <v>776540</v>
      </c>
    </row>
    <row r="419" spans="13:15" x14ac:dyDescent="0.3">
      <c r="M419" s="1053">
        <v>99055628</v>
      </c>
      <c r="N419" s="1054">
        <v>99055628</v>
      </c>
    </row>
    <row r="420" spans="13:15" x14ac:dyDescent="0.3">
      <c r="M420" s="1053">
        <v>488527677</v>
      </c>
      <c r="N420" s="1054">
        <v>488527677</v>
      </c>
    </row>
    <row r="421" spans="13:15" x14ac:dyDescent="0.3">
      <c r="M421" s="1053">
        <v>181492006</v>
      </c>
      <c r="N421" s="1054">
        <v>181492006</v>
      </c>
    </row>
    <row r="422" spans="13:15" x14ac:dyDescent="0.3">
      <c r="M422" s="1053">
        <v>221262653</v>
      </c>
      <c r="N422" s="1054">
        <v>221262653</v>
      </c>
    </row>
    <row r="423" spans="13:15" x14ac:dyDescent="0.3">
      <c r="M423" s="1053">
        <v>150685987</v>
      </c>
      <c r="N423" s="1054">
        <v>150685987</v>
      </c>
    </row>
    <row r="424" spans="13:15" x14ac:dyDescent="0.3">
      <c r="N424" s="1055">
        <v>20984837</v>
      </c>
      <c r="O424">
        <v>52</v>
      </c>
    </row>
    <row r="425" spans="13:15" x14ac:dyDescent="0.3">
      <c r="M425" s="1053">
        <v>221285490</v>
      </c>
      <c r="N425" s="1054">
        <v>221285490</v>
      </c>
    </row>
    <row r="426" spans="13:15" x14ac:dyDescent="0.3">
      <c r="M426" s="1053">
        <v>919001</v>
      </c>
      <c r="N426" s="1054">
        <v>919001</v>
      </c>
    </row>
    <row r="427" spans="13:15" x14ac:dyDescent="0.3">
      <c r="M427" s="1053">
        <v>7330233</v>
      </c>
      <c r="N427" s="1054">
        <v>7330233</v>
      </c>
    </row>
    <row r="428" spans="13:15" x14ac:dyDescent="0.3">
      <c r="M428" s="1053">
        <v>15549827</v>
      </c>
      <c r="N428" s="1054">
        <v>15549827</v>
      </c>
    </row>
    <row r="429" spans="13:15" x14ac:dyDescent="0.3">
      <c r="M429" s="1053">
        <v>2514407</v>
      </c>
      <c r="N429" s="1054">
        <v>2514407</v>
      </c>
    </row>
    <row r="430" spans="13:15" x14ac:dyDescent="0.3">
      <c r="N430">
        <v>0</v>
      </c>
    </row>
    <row r="431" spans="13:15" x14ac:dyDescent="0.3">
      <c r="N431">
        <v>0</v>
      </c>
    </row>
    <row r="432" spans="13:15" x14ac:dyDescent="0.3">
      <c r="M432" s="1053">
        <v>5487705</v>
      </c>
      <c r="N432" s="1054">
        <v>5487705</v>
      </c>
    </row>
    <row r="433" spans="13:15" x14ac:dyDescent="0.3">
      <c r="N433" s="1055">
        <v>-11215729</v>
      </c>
      <c r="O433">
        <v>53</v>
      </c>
    </row>
    <row r="434" spans="13:15" x14ac:dyDescent="0.3">
      <c r="N434">
        <v>0</v>
      </c>
    </row>
    <row r="435" spans="13:15" x14ac:dyDescent="0.3">
      <c r="N435" s="1055">
        <v>21008340</v>
      </c>
      <c r="O435">
        <v>55</v>
      </c>
    </row>
    <row r="436" spans="13:15" x14ac:dyDescent="0.3">
      <c r="M436" s="1053">
        <v>28277996</v>
      </c>
      <c r="N436" s="1054">
        <v>28277996</v>
      </c>
    </row>
    <row r="437" spans="13:15" x14ac:dyDescent="0.3">
      <c r="M437" s="1053">
        <v>1162602</v>
      </c>
      <c r="N437" s="1054">
        <v>1162602</v>
      </c>
    </row>
    <row r="438" spans="13:15" x14ac:dyDescent="0.3">
      <c r="M438" s="1053">
        <v>43399696</v>
      </c>
      <c r="N438" s="1054">
        <v>43399696</v>
      </c>
    </row>
    <row r="439" spans="13:15" x14ac:dyDescent="0.3">
      <c r="M439" s="1053">
        <v>678050754</v>
      </c>
      <c r="N439" s="1054">
        <v>678050754</v>
      </c>
    </row>
    <row r="440" spans="13:15" x14ac:dyDescent="0.3">
      <c r="M440" s="1053">
        <v>382777634</v>
      </c>
      <c r="N440" s="1054">
        <v>382777634</v>
      </c>
    </row>
    <row r="441" spans="13:15" x14ac:dyDescent="0.3">
      <c r="N441">
        <v>0</v>
      </c>
    </row>
    <row r="442" spans="13:15" x14ac:dyDescent="0.3">
      <c r="N442">
        <v>0</v>
      </c>
    </row>
    <row r="443" spans="13:15" x14ac:dyDescent="0.3">
      <c r="N443">
        <v>0</v>
      </c>
    </row>
    <row r="444" spans="13:15" x14ac:dyDescent="0.3">
      <c r="N444">
        <v>0</v>
      </c>
    </row>
    <row r="445" spans="13:15" x14ac:dyDescent="0.3">
      <c r="M445" s="1053">
        <v>8402649</v>
      </c>
      <c r="N445" s="1054">
        <v>8402649</v>
      </c>
    </row>
    <row r="446" spans="13:15" x14ac:dyDescent="0.3">
      <c r="N446" s="1055">
        <v>139551273</v>
      </c>
      <c r="O446">
        <v>47</v>
      </c>
    </row>
    <row r="447" spans="13:15" x14ac:dyDescent="0.3">
      <c r="N447" s="1055">
        <v>24271655</v>
      </c>
      <c r="O447">
        <v>48</v>
      </c>
    </row>
    <row r="448" spans="13:15" x14ac:dyDescent="0.3">
      <c r="N448" s="566">
        <v>0.09</v>
      </c>
      <c r="O448">
        <v>995</v>
      </c>
    </row>
    <row r="449" spans="13:14" x14ac:dyDescent="0.3">
      <c r="M449" s="568">
        <f>SUM(M403:M448)</f>
        <v>3715981437</v>
      </c>
      <c r="N449" s="1054">
        <f>SUM(N403:N448)</f>
        <v>3910581813.0900002</v>
      </c>
    </row>
    <row r="450" spans="13:14" x14ac:dyDescent="0.3">
      <c r="M450" s="1055">
        <v>20984837</v>
      </c>
    </row>
    <row r="451" spans="13:14" x14ac:dyDescent="0.3">
      <c r="M451" s="1055">
        <v>-11215729</v>
      </c>
    </row>
    <row r="452" spans="13:14" x14ac:dyDescent="0.3">
      <c r="M452" s="1055">
        <v>21008340</v>
      </c>
    </row>
    <row r="453" spans="13:14" x14ac:dyDescent="0.3">
      <c r="M453" s="1055">
        <v>139551273</v>
      </c>
    </row>
    <row r="454" spans="13:14" x14ac:dyDescent="0.3">
      <c r="M454" s="1055">
        <v>24271655</v>
      </c>
    </row>
    <row r="455" spans="13:14" x14ac:dyDescent="0.3">
      <c r="M455" s="566">
        <v>0.09</v>
      </c>
    </row>
    <row r="456" spans="13:14" x14ac:dyDescent="0.3">
      <c r="M456" s="568">
        <f>SUM(M449:M455)</f>
        <v>3910581813.0900002</v>
      </c>
    </row>
  </sheetData>
  <sheetProtection algorithmName="SHA-512" hashValue="m2lUTSi57ema/kI1wsAE0a0ZdPOr57GqywRTv0YY9zY7MtoKk4BWsFArnlxaSW69abv7c1KyfYZwun8+kQJwgQ==" saltValue="0FDIvWIt5ChE1tBkGHDgdA=="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sheetPr codeName="Sheet18"/>
  <dimension ref="A1:CD288"/>
  <sheetViews>
    <sheetView workbookViewId="0">
      <pane xSplit="3" ySplit="2" topLeftCell="AZ3" activePane="bottomRight" state="frozen"/>
      <selection activeCell="B197" sqref="B197"/>
      <selection pane="topRight" activeCell="B197" sqref="B197"/>
      <selection pane="bottomLeft" activeCell="B197" sqref="B197"/>
      <selection pane="bottomRight" activeCell="B25" sqref="B25"/>
    </sheetView>
  </sheetViews>
  <sheetFormatPr defaultRowHeight="14.4" x14ac:dyDescent="0.3"/>
  <cols>
    <col min="1" max="1" width="12.5546875" style="155" customWidth="1"/>
    <col min="2" max="2" width="66.5546875" customWidth="1"/>
    <col min="3" max="3" width="37.6640625" customWidth="1"/>
    <col min="4" max="97" width="20.6640625" customWidth="1"/>
  </cols>
  <sheetData>
    <row r="1" spans="1:82" x14ac:dyDescent="0.3">
      <c r="A1" s="183" t="s">
        <v>1986</v>
      </c>
      <c r="B1" t="s">
        <v>1987</v>
      </c>
      <c r="C1" t="s">
        <v>349</v>
      </c>
      <c r="D1" t="s">
        <v>499</v>
      </c>
      <c r="E1" t="s">
        <v>500</v>
      </c>
      <c r="F1" t="s">
        <v>1193</v>
      </c>
      <c r="G1" t="s">
        <v>1194</v>
      </c>
      <c r="H1" t="s">
        <v>1195</v>
      </c>
      <c r="I1" t="s">
        <v>1196</v>
      </c>
      <c r="J1" t="s">
        <v>1197</v>
      </c>
      <c r="K1" t="s">
        <v>1198</v>
      </c>
      <c r="L1" t="s">
        <v>1199</v>
      </c>
      <c r="M1" t="s">
        <v>1200</v>
      </c>
      <c r="N1" t="s">
        <v>1201</v>
      </c>
      <c r="O1" t="s">
        <v>1202</v>
      </c>
      <c r="P1" t="s">
        <v>501</v>
      </c>
      <c r="Q1" t="s">
        <v>1203</v>
      </c>
      <c r="R1" t="s">
        <v>1204</v>
      </c>
      <c r="S1" t="s">
        <v>1205</v>
      </c>
      <c r="T1" t="s">
        <v>502</v>
      </c>
      <c r="U1" t="s">
        <v>1206</v>
      </c>
      <c r="V1" t="s">
        <v>1207</v>
      </c>
      <c r="W1" t="s">
        <v>1208</v>
      </c>
      <c r="X1" t="s">
        <v>503</v>
      </c>
      <c r="Y1" t="s">
        <v>504</v>
      </c>
      <c r="Z1" t="s">
        <v>1209</v>
      </c>
      <c r="AA1" t="s">
        <v>1210</v>
      </c>
      <c r="AB1" t="s">
        <v>1211</v>
      </c>
      <c r="AC1" t="s">
        <v>1212</v>
      </c>
      <c r="AD1" t="s">
        <v>1213</v>
      </c>
      <c r="AE1" t="s">
        <v>388</v>
      </c>
      <c r="AF1" t="s">
        <v>1214</v>
      </c>
      <c r="AG1" t="s">
        <v>1215</v>
      </c>
      <c r="AH1" t="s">
        <v>815</v>
      </c>
      <c r="AI1" t="s">
        <v>1216</v>
      </c>
      <c r="AJ1" t="s">
        <v>505</v>
      </c>
      <c r="AK1" t="s">
        <v>1217</v>
      </c>
      <c r="AL1" t="s">
        <v>506</v>
      </c>
      <c r="AM1" t="s">
        <v>1218</v>
      </c>
      <c r="AN1" t="s">
        <v>1055</v>
      </c>
      <c r="AO1" t="s">
        <v>1219</v>
      </c>
      <c r="AP1" t="s">
        <v>1220</v>
      </c>
      <c r="AQ1" t="s">
        <v>1221</v>
      </c>
      <c r="AR1" t="s">
        <v>1222</v>
      </c>
      <c r="AS1" t="s">
        <v>816</v>
      </c>
      <c r="AT1" t="s">
        <v>507</v>
      </c>
      <c r="AU1" t="s">
        <v>394</v>
      </c>
      <c r="AV1" t="s">
        <v>395</v>
      </c>
      <c r="AW1" t="s">
        <v>1223</v>
      </c>
      <c r="AX1" t="s">
        <v>1224</v>
      </c>
      <c r="AY1" t="s">
        <v>508</v>
      </c>
      <c r="AZ1" t="s">
        <v>509</v>
      </c>
      <c r="BA1" t="s">
        <v>510</v>
      </c>
      <c r="BB1" t="s">
        <v>511</v>
      </c>
      <c r="BC1" t="s">
        <v>1225</v>
      </c>
      <c r="BD1" t="s">
        <v>1226</v>
      </c>
      <c r="BE1" t="s">
        <v>1227</v>
      </c>
      <c r="BF1" t="s">
        <v>1228</v>
      </c>
      <c r="BG1" t="s">
        <v>817</v>
      </c>
      <c r="BH1" t="s">
        <v>1229</v>
      </c>
      <c r="BI1" t="s">
        <v>818</v>
      </c>
      <c r="BJ1" t="s">
        <v>1230</v>
      </c>
      <c r="BK1" t="s">
        <v>1231</v>
      </c>
      <c r="BL1" t="s">
        <v>389</v>
      </c>
      <c r="BM1" t="s">
        <v>1232</v>
      </c>
      <c r="BN1" t="s">
        <v>819</v>
      </c>
      <c r="BO1" t="s">
        <v>1233</v>
      </c>
      <c r="BP1" t="s">
        <v>396</v>
      </c>
      <c r="BQ1" t="s">
        <v>1234</v>
      </c>
      <c r="BR1" t="s">
        <v>1235</v>
      </c>
      <c r="BS1" t="s">
        <v>1236</v>
      </c>
      <c r="BT1" t="s">
        <v>1237</v>
      </c>
      <c r="BU1" t="s">
        <v>1238</v>
      </c>
      <c r="BV1" t="s">
        <v>512</v>
      </c>
      <c r="BW1" t="s">
        <v>1239</v>
      </c>
      <c r="BX1" t="s">
        <v>513</v>
      </c>
      <c r="BY1" t="s">
        <v>1240</v>
      </c>
      <c r="BZ1" t="s">
        <v>514</v>
      </c>
      <c r="CA1" t="s">
        <v>1241</v>
      </c>
      <c r="CB1" t="s">
        <v>1242</v>
      </c>
      <c r="CC1" t="s">
        <v>1056</v>
      </c>
      <c r="CD1" t="s">
        <v>1243</v>
      </c>
    </row>
    <row r="2" spans="1:82" x14ac:dyDescent="0.3">
      <c r="A2" s="155" t="s">
        <v>877</v>
      </c>
      <c r="B2" t="s">
        <v>41</v>
      </c>
      <c r="C2" t="s">
        <v>13</v>
      </c>
      <c r="D2" s="786">
        <v>50129</v>
      </c>
      <c r="E2" s="786">
        <v>50130</v>
      </c>
      <c r="F2" s="786">
        <v>50560</v>
      </c>
      <c r="G2" s="786">
        <v>50131</v>
      </c>
      <c r="H2" s="786">
        <v>50132</v>
      </c>
      <c r="I2" s="786">
        <v>50133</v>
      </c>
      <c r="J2" s="786">
        <v>50134</v>
      </c>
      <c r="K2" s="786">
        <v>50473</v>
      </c>
      <c r="L2" s="786">
        <v>50135</v>
      </c>
      <c r="M2" s="786">
        <v>50136</v>
      </c>
      <c r="N2" s="786">
        <v>50514</v>
      </c>
      <c r="O2" s="786">
        <v>50515</v>
      </c>
      <c r="P2" s="786">
        <v>50570</v>
      </c>
      <c r="Q2" s="786">
        <v>50137</v>
      </c>
      <c r="R2" s="786">
        <v>50549</v>
      </c>
      <c r="S2" s="786">
        <v>50138</v>
      </c>
      <c r="T2" s="786">
        <v>50139</v>
      </c>
      <c r="U2" s="786">
        <v>50474</v>
      </c>
      <c r="V2" s="786">
        <v>50140</v>
      </c>
      <c r="W2" s="786">
        <v>50141</v>
      </c>
      <c r="X2" s="786">
        <v>50142</v>
      </c>
      <c r="Y2" s="786">
        <v>50143</v>
      </c>
      <c r="Z2" s="786">
        <v>50144</v>
      </c>
      <c r="AA2" s="786">
        <v>50492</v>
      </c>
      <c r="AB2" s="786">
        <v>50145</v>
      </c>
      <c r="AC2" s="786">
        <v>50146</v>
      </c>
      <c r="AD2" s="786">
        <v>50147</v>
      </c>
      <c r="AE2" s="786">
        <v>50148</v>
      </c>
      <c r="AF2" s="786">
        <v>50149</v>
      </c>
      <c r="AG2" s="786">
        <v>50150</v>
      </c>
      <c r="AH2" s="786">
        <v>50151</v>
      </c>
      <c r="AI2" s="786">
        <v>50152</v>
      </c>
      <c r="AJ2" s="786">
        <v>50153</v>
      </c>
      <c r="AK2" s="786">
        <v>50475</v>
      </c>
      <c r="AL2" s="786">
        <v>50154</v>
      </c>
      <c r="AM2" s="786">
        <v>50155</v>
      </c>
      <c r="AN2" s="786">
        <v>50156</v>
      </c>
      <c r="AO2" s="786">
        <v>50516</v>
      </c>
      <c r="AP2" s="786">
        <v>50157</v>
      </c>
      <c r="AQ2" s="786">
        <v>50158</v>
      </c>
      <c r="AR2" s="786">
        <v>50545</v>
      </c>
      <c r="AS2" s="786">
        <v>50517</v>
      </c>
      <c r="AT2" s="786">
        <v>50448</v>
      </c>
      <c r="AU2" s="786">
        <v>50159</v>
      </c>
      <c r="AV2" s="786">
        <v>50160</v>
      </c>
      <c r="AW2" s="786">
        <v>50161</v>
      </c>
      <c r="AX2" s="786">
        <v>50162</v>
      </c>
      <c r="AY2" s="786">
        <v>50163</v>
      </c>
      <c r="AZ2" s="786">
        <v>50165</v>
      </c>
      <c r="BA2" s="786">
        <v>50166</v>
      </c>
      <c r="BB2" s="786">
        <v>50167</v>
      </c>
      <c r="BC2" s="786">
        <v>50168</v>
      </c>
      <c r="BD2" s="786">
        <v>50169</v>
      </c>
      <c r="BE2" s="786">
        <v>50170</v>
      </c>
      <c r="BF2" s="786">
        <v>50451</v>
      </c>
      <c r="BG2" s="786">
        <v>50171</v>
      </c>
      <c r="BH2" s="786">
        <v>50172</v>
      </c>
      <c r="BI2" s="786">
        <v>50440</v>
      </c>
      <c r="BJ2" s="786">
        <v>50173</v>
      </c>
      <c r="BK2" s="786">
        <v>50547</v>
      </c>
      <c r="BL2" s="786">
        <v>50175</v>
      </c>
      <c r="BM2" s="786">
        <v>50176</v>
      </c>
      <c r="BN2" s="786">
        <v>50177</v>
      </c>
      <c r="BO2" s="786">
        <v>50178</v>
      </c>
      <c r="BP2" s="786">
        <v>50180</v>
      </c>
      <c r="BQ2" s="786">
        <v>50447</v>
      </c>
      <c r="BR2" s="786">
        <v>50179</v>
      </c>
      <c r="BS2" s="786">
        <v>50462</v>
      </c>
      <c r="BT2" s="786">
        <v>50181</v>
      </c>
      <c r="BU2" s="786">
        <v>50182</v>
      </c>
      <c r="BV2" s="786">
        <v>50183</v>
      </c>
      <c r="BW2" s="786">
        <v>50446</v>
      </c>
      <c r="BX2" s="786">
        <v>50184</v>
      </c>
      <c r="BY2" s="786">
        <v>50185</v>
      </c>
      <c r="BZ2" s="786">
        <v>50186</v>
      </c>
      <c r="CA2" s="786">
        <v>50187</v>
      </c>
      <c r="CB2" s="786">
        <v>50188</v>
      </c>
      <c r="CC2" s="786">
        <v>50189</v>
      </c>
      <c r="CD2" s="786">
        <v>50190</v>
      </c>
    </row>
    <row r="3" spans="1:82" x14ac:dyDescent="0.3">
      <c r="A3" s="155">
        <v>4</v>
      </c>
      <c r="B3" t="s">
        <v>111</v>
      </c>
      <c r="D3">
        <v>199596</v>
      </c>
      <c r="E3">
        <v>20776</v>
      </c>
      <c r="F3">
        <v>40938</v>
      </c>
      <c r="G3">
        <v>60845</v>
      </c>
      <c r="H3">
        <v>132180</v>
      </c>
      <c r="I3">
        <v>16878</v>
      </c>
      <c r="J3">
        <v>965</v>
      </c>
      <c r="K3">
        <v>79</v>
      </c>
      <c r="L3">
        <v>1086780</v>
      </c>
      <c r="M3">
        <v>15149695</v>
      </c>
      <c r="N3">
        <v>86978</v>
      </c>
      <c r="O3">
        <v>87073</v>
      </c>
      <c r="P3">
        <v>4080</v>
      </c>
      <c r="Q3">
        <v>6621020</v>
      </c>
      <c r="R3">
        <v>37250</v>
      </c>
      <c r="S3">
        <v>5349</v>
      </c>
      <c r="T3">
        <v>53623</v>
      </c>
      <c r="U3">
        <v>35383</v>
      </c>
      <c r="V3">
        <v>254351</v>
      </c>
      <c r="W3">
        <v>381474</v>
      </c>
      <c r="X3">
        <v>0</v>
      </c>
      <c r="Y3">
        <v>65685</v>
      </c>
      <c r="Z3">
        <v>2488935</v>
      </c>
      <c r="AA3">
        <v>2883</v>
      </c>
      <c r="AB3">
        <v>14615</v>
      </c>
      <c r="AC3">
        <v>2892451</v>
      </c>
      <c r="AD3">
        <v>17481</v>
      </c>
      <c r="AE3">
        <v>180236</v>
      </c>
      <c r="AF3">
        <v>4825343</v>
      </c>
      <c r="AG3">
        <v>9281</v>
      </c>
      <c r="AH3">
        <v>3695</v>
      </c>
      <c r="AI3">
        <v>243921</v>
      </c>
      <c r="AJ3">
        <v>48515</v>
      </c>
      <c r="AK3">
        <v>26237</v>
      </c>
      <c r="AL3">
        <v>2839604</v>
      </c>
      <c r="AM3">
        <v>0</v>
      </c>
      <c r="AN3">
        <v>743335</v>
      </c>
      <c r="AO3">
        <v>7806</v>
      </c>
      <c r="AP3">
        <v>95180</v>
      </c>
      <c r="AQ3">
        <v>25347</v>
      </c>
      <c r="AR3">
        <v>968</v>
      </c>
      <c r="AS3">
        <v>86380</v>
      </c>
      <c r="AT3">
        <v>35828</v>
      </c>
      <c r="AU3">
        <v>10634282</v>
      </c>
      <c r="AV3">
        <v>2863317</v>
      </c>
      <c r="AW3">
        <v>53835</v>
      </c>
      <c r="AX3">
        <v>20785</v>
      </c>
      <c r="AY3">
        <v>7825</v>
      </c>
      <c r="AZ3">
        <v>9238</v>
      </c>
      <c r="BA3">
        <v>6955</v>
      </c>
      <c r="BB3">
        <v>349216</v>
      </c>
      <c r="BC3">
        <v>8042</v>
      </c>
      <c r="BD3">
        <v>3877</v>
      </c>
      <c r="BE3">
        <v>2933</v>
      </c>
      <c r="BF3">
        <v>509770</v>
      </c>
      <c r="BG3">
        <v>0</v>
      </c>
      <c r="BH3">
        <v>1339579</v>
      </c>
      <c r="BI3">
        <v>78459</v>
      </c>
      <c r="BJ3">
        <v>9551</v>
      </c>
      <c r="BK3">
        <v>25810</v>
      </c>
      <c r="BL3">
        <v>1475204</v>
      </c>
      <c r="BM3">
        <v>900629</v>
      </c>
      <c r="BN3">
        <v>122205</v>
      </c>
      <c r="BO3">
        <v>4110441</v>
      </c>
      <c r="BP3">
        <v>7902689</v>
      </c>
      <c r="BQ3">
        <v>9766</v>
      </c>
      <c r="BR3">
        <v>230929</v>
      </c>
      <c r="BS3">
        <v>88098</v>
      </c>
      <c r="BT3">
        <v>851436</v>
      </c>
      <c r="BU3">
        <v>3182</v>
      </c>
      <c r="BV3">
        <v>98009</v>
      </c>
      <c r="BW3">
        <v>23372</v>
      </c>
      <c r="BX3">
        <v>157568</v>
      </c>
      <c r="BY3">
        <v>6010889</v>
      </c>
      <c r="BZ3">
        <v>201804</v>
      </c>
      <c r="CA3">
        <v>539542</v>
      </c>
      <c r="CB3">
        <v>50515</v>
      </c>
      <c r="CC3">
        <v>172402</v>
      </c>
      <c r="CD3">
        <v>6136718</v>
      </c>
    </row>
    <row r="4" spans="1:82" x14ac:dyDescent="0.3">
      <c r="A4" s="155">
        <v>5</v>
      </c>
      <c r="B4" t="s">
        <v>112</v>
      </c>
      <c r="D4">
        <v>3045548</v>
      </c>
      <c r="E4">
        <v>0</v>
      </c>
      <c r="F4">
        <v>41</v>
      </c>
      <c r="G4">
        <v>0</v>
      </c>
      <c r="H4">
        <v>0</v>
      </c>
      <c r="I4">
        <v>0</v>
      </c>
      <c r="J4">
        <v>0</v>
      </c>
      <c r="K4">
        <v>0</v>
      </c>
      <c r="L4">
        <v>0</v>
      </c>
      <c r="M4">
        <v>40885</v>
      </c>
      <c r="N4">
        <v>0</v>
      </c>
      <c r="O4">
        <v>0</v>
      </c>
      <c r="P4">
        <v>0</v>
      </c>
      <c r="Q4">
        <v>6147</v>
      </c>
      <c r="R4">
        <v>0</v>
      </c>
      <c r="S4">
        <v>0</v>
      </c>
      <c r="T4">
        <v>0</v>
      </c>
      <c r="U4">
        <v>1359</v>
      </c>
      <c r="V4">
        <v>6279</v>
      </c>
      <c r="W4">
        <v>16950</v>
      </c>
      <c r="X4">
        <v>0</v>
      </c>
      <c r="Y4">
        <v>0</v>
      </c>
      <c r="Z4">
        <v>21293</v>
      </c>
      <c r="AA4">
        <v>0</v>
      </c>
      <c r="AB4">
        <v>0</v>
      </c>
      <c r="AC4">
        <v>34296</v>
      </c>
      <c r="AD4">
        <v>0</v>
      </c>
      <c r="AE4">
        <v>0</v>
      </c>
      <c r="AF4">
        <v>0</v>
      </c>
      <c r="AG4">
        <v>54</v>
      </c>
      <c r="AH4">
        <v>0</v>
      </c>
      <c r="AI4">
        <v>2340</v>
      </c>
      <c r="AJ4">
        <v>0</v>
      </c>
      <c r="AK4">
        <v>0</v>
      </c>
      <c r="AL4">
        <v>5119</v>
      </c>
      <c r="AM4">
        <v>1500</v>
      </c>
      <c r="AN4">
        <v>207840</v>
      </c>
      <c r="AO4">
        <v>0</v>
      </c>
      <c r="AP4">
        <v>3949</v>
      </c>
      <c r="AQ4">
        <v>0</v>
      </c>
      <c r="AR4">
        <v>0</v>
      </c>
      <c r="AS4">
        <v>0</v>
      </c>
      <c r="AT4">
        <v>0</v>
      </c>
      <c r="AU4">
        <v>56540</v>
      </c>
      <c r="AV4">
        <v>0</v>
      </c>
      <c r="AW4">
        <v>0</v>
      </c>
      <c r="AX4">
        <v>291</v>
      </c>
      <c r="AY4">
        <v>0</v>
      </c>
      <c r="AZ4">
        <v>0</v>
      </c>
      <c r="BA4">
        <v>29022</v>
      </c>
      <c r="BB4">
        <v>9402</v>
      </c>
      <c r="BC4">
        <v>0</v>
      </c>
      <c r="BD4">
        <v>1300</v>
      </c>
      <c r="BE4">
        <v>0</v>
      </c>
      <c r="BF4">
        <v>11105</v>
      </c>
      <c r="BG4">
        <v>3887</v>
      </c>
      <c r="BH4">
        <v>8198</v>
      </c>
      <c r="BI4">
        <v>0</v>
      </c>
      <c r="BJ4">
        <v>0</v>
      </c>
      <c r="BK4">
        <v>0</v>
      </c>
      <c r="BL4">
        <v>9315</v>
      </c>
      <c r="BM4">
        <v>0</v>
      </c>
      <c r="BN4">
        <v>290</v>
      </c>
      <c r="BO4">
        <v>9041</v>
      </c>
      <c r="BP4">
        <v>25362</v>
      </c>
      <c r="BQ4">
        <v>0</v>
      </c>
      <c r="BR4">
        <v>0</v>
      </c>
      <c r="BS4">
        <v>0</v>
      </c>
      <c r="BT4">
        <v>0</v>
      </c>
      <c r="BU4">
        <v>0</v>
      </c>
      <c r="BV4">
        <v>0</v>
      </c>
      <c r="BW4">
        <v>0</v>
      </c>
      <c r="BX4">
        <v>36516</v>
      </c>
      <c r="BY4">
        <v>1637885</v>
      </c>
      <c r="BZ4">
        <v>0</v>
      </c>
      <c r="CA4">
        <v>0</v>
      </c>
      <c r="CB4">
        <v>2350</v>
      </c>
      <c r="CC4">
        <v>0</v>
      </c>
      <c r="CD4">
        <v>32691</v>
      </c>
    </row>
    <row r="5" spans="1:82" x14ac:dyDescent="0.3">
      <c r="A5" s="155">
        <v>6</v>
      </c>
      <c r="B5" t="s">
        <v>251</v>
      </c>
      <c r="D5">
        <v>0</v>
      </c>
      <c r="E5">
        <v>0</v>
      </c>
      <c r="F5">
        <v>0</v>
      </c>
      <c r="G5">
        <v>0</v>
      </c>
      <c r="H5">
        <v>0</v>
      </c>
      <c r="I5">
        <v>0</v>
      </c>
      <c r="J5">
        <v>0</v>
      </c>
      <c r="K5">
        <v>0</v>
      </c>
      <c r="L5">
        <v>0</v>
      </c>
      <c r="M5">
        <v>4998424</v>
      </c>
      <c r="N5">
        <v>0</v>
      </c>
      <c r="O5">
        <v>0</v>
      </c>
      <c r="P5">
        <v>0</v>
      </c>
      <c r="Q5">
        <v>0</v>
      </c>
      <c r="R5">
        <v>0</v>
      </c>
      <c r="S5">
        <v>0</v>
      </c>
      <c r="T5">
        <v>0</v>
      </c>
      <c r="U5">
        <v>0</v>
      </c>
      <c r="V5">
        <v>0</v>
      </c>
      <c r="W5">
        <v>0</v>
      </c>
      <c r="X5">
        <v>0</v>
      </c>
      <c r="Y5">
        <v>0</v>
      </c>
      <c r="Z5">
        <v>0</v>
      </c>
      <c r="AA5">
        <v>0</v>
      </c>
      <c r="AB5">
        <v>0</v>
      </c>
      <c r="AC5">
        <v>670249</v>
      </c>
      <c r="AD5">
        <v>0</v>
      </c>
      <c r="AE5">
        <v>0</v>
      </c>
      <c r="AF5">
        <v>771758</v>
      </c>
      <c r="AG5">
        <v>0</v>
      </c>
      <c r="AH5">
        <v>0</v>
      </c>
      <c r="AI5">
        <v>0</v>
      </c>
      <c r="AJ5">
        <v>0</v>
      </c>
      <c r="AK5">
        <v>0</v>
      </c>
      <c r="AL5">
        <v>1201451</v>
      </c>
      <c r="AM5">
        <v>0</v>
      </c>
      <c r="AN5">
        <v>0</v>
      </c>
      <c r="AO5">
        <v>0</v>
      </c>
      <c r="AP5">
        <v>0</v>
      </c>
      <c r="AQ5">
        <v>0</v>
      </c>
      <c r="AR5">
        <v>0</v>
      </c>
      <c r="AS5">
        <v>0</v>
      </c>
      <c r="AT5">
        <v>0</v>
      </c>
      <c r="AU5">
        <v>7062792</v>
      </c>
      <c r="AV5">
        <v>2388088</v>
      </c>
      <c r="AW5">
        <v>0</v>
      </c>
      <c r="AX5">
        <v>0</v>
      </c>
      <c r="AY5">
        <v>0</v>
      </c>
      <c r="AZ5">
        <v>0</v>
      </c>
      <c r="BA5">
        <v>0</v>
      </c>
      <c r="BB5">
        <v>0</v>
      </c>
      <c r="BC5">
        <v>0</v>
      </c>
      <c r="BD5">
        <v>0</v>
      </c>
      <c r="BE5">
        <v>0</v>
      </c>
      <c r="BF5">
        <v>264747</v>
      </c>
      <c r="BG5">
        <v>0</v>
      </c>
      <c r="BH5">
        <v>1241375</v>
      </c>
      <c r="BI5">
        <v>0</v>
      </c>
      <c r="BJ5">
        <v>0</v>
      </c>
      <c r="BK5">
        <v>0</v>
      </c>
      <c r="BL5">
        <v>0</v>
      </c>
      <c r="BM5">
        <v>0</v>
      </c>
      <c r="BN5">
        <v>0</v>
      </c>
      <c r="BO5">
        <v>5360225</v>
      </c>
      <c r="BP5">
        <v>2395467</v>
      </c>
      <c r="BQ5">
        <v>0</v>
      </c>
      <c r="BR5">
        <v>0</v>
      </c>
      <c r="BS5">
        <v>0</v>
      </c>
      <c r="BT5">
        <v>975779</v>
      </c>
      <c r="BU5">
        <v>0</v>
      </c>
      <c r="BV5">
        <v>0</v>
      </c>
      <c r="BW5">
        <v>0</v>
      </c>
      <c r="BX5">
        <v>0</v>
      </c>
      <c r="BY5">
        <v>2258625</v>
      </c>
      <c r="BZ5">
        <v>0</v>
      </c>
      <c r="CA5">
        <v>72670</v>
      </c>
      <c r="CB5">
        <v>0</v>
      </c>
      <c r="CC5">
        <v>0</v>
      </c>
      <c r="CD5">
        <v>5312466</v>
      </c>
    </row>
    <row r="6" spans="1:82" x14ac:dyDescent="0.3">
      <c r="A6" s="155">
        <v>7</v>
      </c>
      <c r="B6" t="s">
        <v>193</v>
      </c>
      <c r="D6">
        <v>0</v>
      </c>
      <c r="E6">
        <v>0</v>
      </c>
      <c r="F6">
        <v>3302</v>
      </c>
      <c r="G6">
        <v>0</v>
      </c>
      <c r="H6">
        <v>4770</v>
      </c>
      <c r="I6">
        <v>0</v>
      </c>
      <c r="J6">
        <v>2206</v>
      </c>
      <c r="K6">
        <v>6623</v>
      </c>
      <c r="L6">
        <v>14048</v>
      </c>
      <c r="M6">
        <v>2530227</v>
      </c>
      <c r="N6">
        <v>0</v>
      </c>
      <c r="O6">
        <v>24480</v>
      </c>
      <c r="P6">
        <v>0</v>
      </c>
      <c r="Q6">
        <v>107338</v>
      </c>
      <c r="R6">
        <v>1024</v>
      </c>
      <c r="S6">
        <v>9825</v>
      </c>
      <c r="T6">
        <v>0</v>
      </c>
      <c r="U6">
        <v>3276</v>
      </c>
      <c r="V6">
        <v>0</v>
      </c>
      <c r="W6">
        <v>0</v>
      </c>
      <c r="X6">
        <v>0</v>
      </c>
      <c r="Y6">
        <v>0</v>
      </c>
      <c r="Z6">
        <v>0</v>
      </c>
      <c r="AA6">
        <v>0</v>
      </c>
      <c r="AB6">
        <v>0</v>
      </c>
      <c r="AC6">
        <v>117787</v>
      </c>
      <c r="AD6">
        <v>0</v>
      </c>
      <c r="AE6">
        <v>0</v>
      </c>
      <c r="AF6">
        <v>884658</v>
      </c>
      <c r="AG6">
        <v>54</v>
      </c>
      <c r="AH6">
        <v>0</v>
      </c>
      <c r="AI6">
        <v>42644</v>
      </c>
      <c r="AJ6">
        <v>0</v>
      </c>
      <c r="AK6">
        <v>0</v>
      </c>
      <c r="AL6">
        <v>425801</v>
      </c>
      <c r="AM6">
        <v>0</v>
      </c>
      <c r="AN6">
        <v>0</v>
      </c>
      <c r="AO6">
        <v>0</v>
      </c>
      <c r="AP6">
        <v>604</v>
      </c>
      <c r="AQ6">
        <v>0</v>
      </c>
      <c r="AR6">
        <v>0</v>
      </c>
      <c r="AS6">
        <v>0</v>
      </c>
      <c r="AT6">
        <v>0</v>
      </c>
      <c r="AU6">
        <v>1657657</v>
      </c>
      <c r="AV6">
        <v>40300</v>
      </c>
      <c r="AW6">
        <v>33663</v>
      </c>
      <c r="AX6">
        <v>0</v>
      </c>
      <c r="AY6">
        <v>0</v>
      </c>
      <c r="AZ6">
        <v>0</v>
      </c>
      <c r="BA6">
        <v>0</v>
      </c>
      <c r="BB6">
        <v>0</v>
      </c>
      <c r="BC6">
        <v>11769</v>
      </c>
      <c r="BD6">
        <v>0</v>
      </c>
      <c r="BE6">
        <v>0</v>
      </c>
      <c r="BF6">
        <v>220195</v>
      </c>
      <c r="BG6">
        <v>0</v>
      </c>
      <c r="BH6">
        <v>14396</v>
      </c>
      <c r="BI6">
        <v>0</v>
      </c>
      <c r="BJ6">
        <v>0</v>
      </c>
      <c r="BK6">
        <v>0</v>
      </c>
      <c r="BL6">
        <v>4985</v>
      </c>
      <c r="BM6">
        <v>38543</v>
      </c>
      <c r="BN6">
        <v>0</v>
      </c>
      <c r="BO6">
        <v>2137857</v>
      </c>
      <c r="BP6">
        <v>649742</v>
      </c>
      <c r="BQ6">
        <v>0</v>
      </c>
      <c r="BR6">
        <v>32868</v>
      </c>
      <c r="BS6">
        <v>0</v>
      </c>
      <c r="BT6">
        <v>0</v>
      </c>
      <c r="BU6">
        <v>0</v>
      </c>
      <c r="BV6">
        <v>0</v>
      </c>
      <c r="BW6">
        <v>0</v>
      </c>
      <c r="BX6">
        <v>0</v>
      </c>
      <c r="BY6">
        <v>269704</v>
      </c>
      <c r="BZ6">
        <v>0</v>
      </c>
      <c r="CA6">
        <v>25521</v>
      </c>
      <c r="CB6">
        <v>7290</v>
      </c>
      <c r="CC6">
        <v>44806</v>
      </c>
      <c r="CD6">
        <v>181207</v>
      </c>
    </row>
    <row r="7" spans="1:82" x14ac:dyDescent="0.3">
      <c r="A7" s="155">
        <v>9</v>
      </c>
      <c r="B7" t="s">
        <v>195</v>
      </c>
      <c r="D7">
        <v>550585</v>
      </c>
      <c r="E7">
        <v>1151545</v>
      </c>
      <c r="F7">
        <v>474135</v>
      </c>
      <c r="G7">
        <v>1215226</v>
      </c>
      <c r="H7">
        <v>1143519</v>
      </c>
      <c r="I7">
        <v>206556</v>
      </c>
      <c r="J7">
        <v>129036</v>
      </c>
      <c r="K7">
        <v>525613</v>
      </c>
      <c r="L7">
        <v>3142922</v>
      </c>
      <c r="M7">
        <v>95165893</v>
      </c>
      <c r="N7">
        <v>3517617</v>
      </c>
      <c r="O7">
        <v>7779939</v>
      </c>
      <c r="P7">
        <v>204995</v>
      </c>
      <c r="Q7">
        <v>3316958</v>
      </c>
      <c r="R7">
        <v>184630</v>
      </c>
      <c r="S7">
        <v>669354</v>
      </c>
      <c r="T7">
        <v>1731578</v>
      </c>
      <c r="U7">
        <v>2064731</v>
      </c>
      <c r="V7">
        <v>5975393</v>
      </c>
      <c r="W7">
        <v>843732</v>
      </c>
      <c r="X7">
        <v>863072</v>
      </c>
      <c r="Y7">
        <v>330538</v>
      </c>
      <c r="Z7">
        <v>34562738</v>
      </c>
      <c r="AA7">
        <v>8578061</v>
      </c>
      <c r="AB7">
        <v>1287751</v>
      </c>
      <c r="AC7">
        <v>30541469</v>
      </c>
      <c r="AD7">
        <v>923321</v>
      </c>
      <c r="AE7">
        <v>758481</v>
      </c>
      <c r="AF7">
        <v>48893850</v>
      </c>
      <c r="AG7">
        <v>1163703</v>
      </c>
      <c r="AH7">
        <v>351070</v>
      </c>
      <c r="AI7">
        <v>3343905</v>
      </c>
      <c r="AJ7">
        <v>1596460</v>
      </c>
      <c r="AK7">
        <v>104291</v>
      </c>
      <c r="AL7">
        <v>21407906</v>
      </c>
      <c r="AM7">
        <v>670192</v>
      </c>
      <c r="AN7">
        <v>13627235</v>
      </c>
      <c r="AO7">
        <v>114898</v>
      </c>
      <c r="AP7">
        <v>6398638</v>
      </c>
      <c r="AQ7">
        <v>2752273</v>
      </c>
      <c r="AR7">
        <v>276005</v>
      </c>
      <c r="AS7">
        <v>2491792</v>
      </c>
      <c r="AT7">
        <v>1031843</v>
      </c>
      <c r="AU7">
        <v>102739942</v>
      </c>
      <c r="AV7">
        <v>30005873</v>
      </c>
      <c r="AW7">
        <v>1478685</v>
      </c>
      <c r="AX7">
        <v>268408</v>
      </c>
      <c r="AY7">
        <v>556562</v>
      </c>
      <c r="AZ7">
        <v>192131</v>
      </c>
      <c r="BA7">
        <v>1059937</v>
      </c>
      <c r="BB7">
        <v>4683964</v>
      </c>
      <c r="BC7">
        <v>1355264</v>
      </c>
      <c r="BD7">
        <v>262143</v>
      </c>
      <c r="BE7">
        <v>154569</v>
      </c>
      <c r="BF7">
        <v>8029530</v>
      </c>
      <c r="BG7">
        <v>95900</v>
      </c>
      <c r="BH7">
        <v>15454981</v>
      </c>
      <c r="BI7">
        <v>1474985</v>
      </c>
      <c r="BJ7">
        <v>604625</v>
      </c>
      <c r="BK7">
        <v>525665</v>
      </c>
      <c r="BL7">
        <v>12301847</v>
      </c>
      <c r="BM7">
        <v>9763382</v>
      </c>
      <c r="BN7">
        <v>1910167</v>
      </c>
      <c r="BO7">
        <v>41320171</v>
      </c>
      <c r="BP7">
        <v>38693504</v>
      </c>
      <c r="BQ7">
        <v>369601</v>
      </c>
      <c r="BR7">
        <v>4630882</v>
      </c>
      <c r="BS7">
        <v>2222508</v>
      </c>
      <c r="BT7">
        <v>12004024</v>
      </c>
      <c r="BU7">
        <v>333925</v>
      </c>
      <c r="BV7">
        <v>716386</v>
      </c>
      <c r="BW7">
        <v>4567726</v>
      </c>
      <c r="BX7">
        <v>2925919</v>
      </c>
      <c r="BY7">
        <v>30328196</v>
      </c>
      <c r="BZ7">
        <v>404308</v>
      </c>
      <c r="CA7">
        <v>8338175</v>
      </c>
      <c r="CB7">
        <v>954220</v>
      </c>
      <c r="CC7">
        <v>2830384</v>
      </c>
      <c r="CD7">
        <v>59672263</v>
      </c>
    </row>
    <row r="8" spans="1:82" x14ac:dyDescent="0.3">
      <c r="A8" s="155">
        <v>11</v>
      </c>
      <c r="B8" t="s">
        <v>194</v>
      </c>
      <c r="D8">
        <v>0</v>
      </c>
      <c r="E8">
        <v>113558</v>
      </c>
      <c r="F8">
        <v>0</v>
      </c>
      <c r="G8">
        <v>1386</v>
      </c>
      <c r="H8">
        <v>122192</v>
      </c>
      <c r="I8">
        <v>16850</v>
      </c>
      <c r="J8">
        <v>17364</v>
      </c>
      <c r="K8">
        <v>113053</v>
      </c>
      <c r="L8">
        <v>578936</v>
      </c>
      <c r="M8">
        <v>0</v>
      </c>
      <c r="N8">
        <v>0</v>
      </c>
      <c r="O8">
        <v>451780</v>
      </c>
      <c r="P8">
        <v>29126</v>
      </c>
      <c r="Q8">
        <v>455026</v>
      </c>
      <c r="R8">
        <v>9815</v>
      </c>
      <c r="S8">
        <v>39173</v>
      </c>
      <c r="T8">
        <v>0</v>
      </c>
      <c r="U8">
        <v>432000</v>
      </c>
      <c r="V8">
        <v>470683</v>
      </c>
      <c r="W8">
        <v>0</v>
      </c>
      <c r="X8">
        <v>47555</v>
      </c>
      <c r="Y8">
        <v>25485</v>
      </c>
      <c r="Z8">
        <v>2063192</v>
      </c>
      <c r="AA8">
        <v>0</v>
      </c>
      <c r="AB8">
        <v>3374</v>
      </c>
      <c r="AC8">
        <v>67081</v>
      </c>
      <c r="AD8">
        <v>88327</v>
      </c>
      <c r="AE8">
        <v>0</v>
      </c>
      <c r="AF8">
        <v>466775</v>
      </c>
      <c r="AG8">
        <v>30437</v>
      </c>
      <c r="AH8">
        <v>40743</v>
      </c>
      <c r="AI8">
        <v>85123</v>
      </c>
      <c r="AJ8">
        <v>66861</v>
      </c>
      <c r="AK8">
        <v>31273</v>
      </c>
      <c r="AL8">
        <v>0</v>
      </c>
      <c r="AM8">
        <v>47888</v>
      </c>
      <c r="AN8">
        <v>0</v>
      </c>
      <c r="AO8">
        <v>0</v>
      </c>
      <c r="AP8">
        <v>305402</v>
      </c>
      <c r="AQ8">
        <v>74973</v>
      </c>
      <c r="AR8">
        <v>0</v>
      </c>
      <c r="AS8">
        <v>74556</v>
      </c>
      <c r="AT8">
        <v>32239</v>
      </c>
      <c r="AU8">
        <v>0</v>
      </c>
      <c r="AV8">
        <v>0</v>
      </c>
      <c r="AW8">
        <v>0</v>
      </c>
      <c r="AX8">
        <v>12222</v>
      </c>
      <c r="AY8">
        <v>79945</v>
      </c>
      <c r="AZ8">
        <v>10143</v>
      </c>
      <c r="BA8">
        <v>44238</v>
      </c>
      <c r="BB8">
        <v>42701</v>
      </c>
      <c r="BC8">
        <v>0</v>
      </c>
      <c r="BD8">
        <v>5915</v>
      </c>
      <c r="BE8">
        <v>13600</v>
      </c>
      <c r="BF8">
        <v>72427</v>
      </c>
      <c r="BG8">
        <v>49236</v>
      </c>
      <c r="BH8">
        <v>961084</v>
      </c>
      <c r="BI8">
        <v>196057</v>
      </c>
      <c r="BJ8">
        <v>64392</v>
      </c>
      <c r="BK8">
        <v>0</v>
      </c>
      <c r="BL8">
        <v>1329638</v>
      </c>
      <c r="BM8">
        <v>0</v>
      </c>
      <c r="BN8">
        <v>127439</v>
      </c>
      <c r="BO8">
        <v>0</v>
      </c>
      <c r="BP8">
        <v>0</v>
      </c>
      <c r="BQ8">
        <v>40399</v>
      </c>
      <c r="BR8">
        <v>134160</v>
      </c>
      <c r="BS8">
        <v>85518</v>
      </c>
      <c r="BT8">
        <v>576846</v>
      </c>
      <c r="BU8">
        <v>58044</v>
      </c>
      <c r="BV8">
        <v>223912</v>
      </c>
      <c r="BW8">
        <v>0</v>
      </c>
      <c r="BX8">
        <v>123266</v>
      </c>
      <c r="BY8">
        <v>1388541</v>
      </c>
      <c r="BZ8">
        <v>41978</v>
      </c>
      <c r="CA8">
        <v>286364</v>
      </c>
      <c r="CB8">
        <v>32144</v>
      </c>
      <c r="CC8">
        <v>210210</v>
      </c>
      <c r="CD8">
        <v>1524980</v>
      </c>
    </row>
    <row r="9" spans="1:82" x14ac:dyDescent="0.3">
      <c r="A9" s="155">
        <v>16</v>
      </c>
      <c r="B9" t="s">
        <v>197</v>
      </c>
      <c r="D9">
        <v>1519672</v>
      </c>
      <c r="E9">
        <v>2349030</v>
      </c>
      <c r="F9">
        <v>363962</v>
      </c>
      <c r="G9">
        <v>925296</v>
      </c>
      <c r="H9">
        <v>802047</v>
      </c>
      <c r="I9">
        <v>217908</v>
      </c>
      <c r="J9">
        <v>45566</v>
      </c>
      <c r="K9">
        <v>101833</v>
      </c>
      <c r="L9">
        <v>5362107</v>
      </c>
      <c r="M9">
        <v>182729057</v>
      </c>
      <c r="N9">
        <v>2251357</v>
      </c>
      <c r="O9">
        <v>8606337</v>
      </c>
      <c r="P9">
        <v>162459</v>
      </c>
      <c r="Q9">
        <v>10972974</v>
      </c>
      <c r="R9">
        <v>106357</v>
      </c>
      <c r="S9">
        <v>368816</v>
      </c>
      <c r="T9">
        <v>2471639</v>
      </c>
      <c r="U9">
        <v>1491291</v>
      </c>
      <c r="V9">
        <v>5714195</v>
      </c>
      <c r="W9">
        <v>2848146</v>
      </c>
      <c r="X9">
        <v>837281</v>
      </c>
      <c r="Y9">
        <v>963985</v>
      </c>
      <c r="Z9">
        <v>45299075</v>
      </c>
      <c r="AA9">
        <v>1312969</v>
      </c>
      <c r="AB9">
        <v>701408</v>
      </c>
      <c r="AC9">
        <v>46219550</v>
      </c>
      <c r="AD9">
        <v>1220409</v>
      </c>
      <c r="AE9">
        <v>829716</v>
      </c>
      <c r="AF9">
        <v>78985069</v>
      </c>
      <c r="AG9">
        <v>317916</v>
      </c>
      <c r="AH9">
        <v>306313</v>
      </c>
      <c r="AI9">
        <v>7602172</v>
      </c>
      <c r="AJ9">
        <v>1104468</v>
      </c>
      <c r="AK9">
        <v>97206</v>
      </c>
      <c r="AL9">
        <v>42163425</v>
      </c>
      <c r="AM9">
        <v>286929</v>
      </c>
      <c r="AN9">
        <v>16149257</v>
      </c>
      <c r="AO9">
        <v>90981</v>
      </c>
      <c r="AP9">
        <v>5139262</v>
      </c>
      <c r="AQ9">
        <v>2890878</v>
      </c>
      <c r="AR9">
        <v>75055</v>
      </c>
      <c r="AS9">
        <v>1717477</v>
      </c>
      <c r="AT9">
        <v>332607</v>
      </c>
      <c r="AU9">
        <v>328659247</v>
      </c>
      <c r="AV9">
        <v>88076079</v>
      </c>
      <c r="AW9">
        <v>1988906</v>
      </c>
      <c r="AX9">
        <v>374155</v>
      </c>
      <c r="AY9">
        <v>441008</v>
      </c>
      <c r="AZ9">
        <v>278065</v>
      </c>
      <c r="BA9">
        <v>432332</v>
      </c>
      <c r="BB9">
        <v>6054093</v>
      </c>
      <c r="BC9">
        <v>310612</v>
      </c>
      <c r="BD9">
        <v>131839</v>
      </c>
      <c r="BE9">
        <v>67961</v>
      </c>
      <c r="BF9">
        <v>18912019</v>
      </c>
      <c r="BG9">
        <v>30865</v>
      </c>
      <c r="BH9">
        <v>14055269</v>
      </c>
      <c r="BI9">
        <v>2628877</v>
      </c>
      <c r="BJ9">
        <v>236699</v>
      </c>
      <c r="BK9">
        <v>82360</v>
      </c>
      <c r="BL9">
        <v>16738520</v>
      </c>
      <c r="BM9">
        <v>19731509</v>
      </c>
      <c r="BN9">
        <v>2066993</v>
      </c>
      <c r="BO9">
        <v>61143449</v>
      </c>
      <c r="BP9">
        <v>123431860</v>
      </c>
      <c r="BQ9">
        <v>383718</v>
      </c>
      <c r="BR9">
        <v>6106375</v>
      </c>
      <c r="BS9">
        <v>1138204</v>
      </c>
      <c r="BT9">
        <v>13812474</v>
      </c>
      <c r="BU9">
        <v>180935</v>
      </c>
      <c r="BV9">
        <v>202571</v>
      </c>
      <c r="BW9">
        <v>4134366</v>
      </c>
      <c r="BX9">
        <v>4245490</v>
      </c>
      <c r="BY9">
        <v>47263039</v>
      </c>
      <c r="BZ9">
        <v>562494</v>
      </c>
      <c r="CA9">
        <v>15428222</v>
      </c>
      <c r="CB9">
        <v>680916</v>
      </c>
      <c r="CC9">
        <v>3882226</v>
      </c>
      <c r="CD9">
        <v>56188166</v>
      </c>
    </row>
    <row r="10" spans="1:82" x14ac:dyDescent="0.3">
      <c r="A10" s="155">
        <v>17</v>
      </c>
      <c r="B10" t="s">
        <v>200</v>
      </c>
      <c r="D10">
        <v>0</v>
      </c>
      <c r="E10">
        <v>0</v>
      </c>
      <c r="F10">
        <v>131426</v>
      </c>
      <c r="G10">
        <v>0</v>
      </c>
      <c r="H10">
        <v>0</v>
      </c>
      <c r="I10">
        <v>0</v>
      </c>
      <c r="J10">
        <v>0</v>
      </c>
      <c r="K10">
        <v>0</v>
      </c>
      <c r="L10">
        <v>560973</v>
      </c>
      <c r="M10">
        <v>1515000</v>
      </c>
      <c r="N10">
        <v>314146</v>
      </c>
      <c r="O10">
        <v>0</v>
      </c>
      <c r="P10">
        <v>0</v>
      </c>
      <c r="Q10">
        <v>8277354</v>
      </c>
      <c r="R10">
        <v>0</v>
      </c>
      <c r="S10">
        <v>0</v>
      </c>
      <c r="T10">
        <v>265000</v>
      </c>
      <c r="U10">
        <v>125073</v>
      </c>
      <c r="V10">
        <v>46759</v>
      </c>
      <c r="W10">
        <v>0</v>
      </c>
      <c r="X10">
        <v>0</v>
      </c>
      <c r="Y10">
        <v>119681</v>
      </c>
      <c r="Z10">
        <v>805000</v>
      </c>
      <c r="AA10">
        <v>0</v>
      </c>
      <c r="AB10">
        <v>0</v>
      </c>
      <c r="AC10">
        <v>0</v>
      </c>
      <c r="AD10">
        <v>0</v>
      </c>
      <c r="AE10">
        <v>0</v>
      </c>
      <c r="AF10">
        <v>2642530</v>
      </c>
      <c r="AG10">
        <v>0</v>
      </c>
      <c r="AH10">
        <v>0</v>
      </c>
      <c r="AI10">
        <v>1172160</v>
      </c>
      <c r="AJ10">
        <v>236314</v>
      </c>
      <c r="AK10">
        <v>1205</v>
      </c>
      <c r="AL10">
        <v>0</v>
      </c>
      <c r="AM10">
        <v>0</v>
      </c>
      <c r="AN10">
        <v>0</v>
      </c>
      <c r="AO10">
        <v>0</v>
      </c>
      <c r="AP10">
        <v>742406</v>
      </c>
      <c r="AQ10">
        <v>480371</v>
      </c>
      <c r="AR10">
        <v>0</v>
      </c>
      <c r="AS10">
        <v>370645</v>
      </c>
      <c r="AT10">
        <v>0</v>
      </c>
      <c r="AU10">
        <v>9799468</v>
      </c>
      <c r="AV10">
        <v>6847174</v>
      </c>
      <c r="AW10">
        <v>0</v>
      </c>
      <c r="AX10">
        <v>60494</v>
      </c>
      <c r="AY10">
        <v>9721</v>
      </c>
      <c r="AZ10">
        <v>0</v>
      </c>
      <c r="BA10">
        <v>0</v>
      </c>
      <c r="BB10">
        <v>0</v>
      </c>
      <c r="BC10">
        <v>0</v>
      </c>
      <c r="BD10">
        <v>0</v>
      </c>
      <c r="BE10">
        <v>0</v>
      </c>
      <c r="BF10">
        <v>2321682</v>
      </c>
      <c r="BG10">
        <v>0</v>
      </c>
      <c r="BH10">
        <v>0</v>
      </c>
      <c r="BI10">
        <v>0</v>
      </c>
      <c r="BJ10">
        <v>12484</v>
      </c>
      <c r="BK10">
        <v>0</v>
      </c>
      <c r="BL10">
        <v>19</v>
      </c>
      <c r="BM10">
        <v>0</v>
      </c>
      <c r="BN10">
        <v>84000</v>
      </c>
      <c r="BO10">
        <v>9676509</v>
      </c>
      <c r="BP10">
        <v>2149849</v>
      </c>
      <c r="BQ10">
        <v>70654</v>
      </c>
      <c r="BR10">
        <v>0</v>
      </c>
      <c r="BS10">
        <v>214214</v>
      </c>
      <c r="BT10">
        <v>0</v>
      </c>
      <c r="BU10">
        <v>7000</v>
      </c>
      <c r="BV10">
        <v>0</v>
      </c>
      <c r="BW10">
        <v>0</v>
      </c>
      <c r="BX10">
        <v>0</v>
      </c>
      <c r="BY10">
        <v>5304657</v>
      </c>
      <c r="BZ10">
        <v>0</v>
      </c>
      <c r="CA10">
        <v>0</v>
      </c>
      <c r="CB10">
        <v>0</v>
      </c>
      <c r="CC10">
        <v>0</v>
      </c>
      <c r="CD10">
        <v>0</v>
      </c>
    </row>
    <row r="11" spans="1:82" x14ac:dyDescent="0.3">
      <c r="A11" s="155">
        <v>20</v>
      </c>
      <c r="B11" t="s">
        <v>201</v>
      </c>
      <c r="D11">
        <v>36650</v>
      </c>
      <c r="E11">
        <v>0</v>
      </c>
      <c r="F11">
        <v>0</v>
      </c>
      <c r="G11">
        <v>0</v>
      </c>
      <c r="H11">
        <v>0</v>
      </c>
      <c r="I11">
        <v>0</v>
      </c>
      <c r="J11">
        <v>0</v>
      </c>
      <c r="K11">
        <v>0</v>
      </c>
      <c r="L11">
        <v>0</v>
      </c>
      <c r="M11">
        <v>18618864</v>
      </c>
      <c r="N11">
        <v>60000</v>
      </c>
      <c r="O11">
        <v>0</v>
      </c>
      <c r="P11">
        <v>0</v>
      </c>
      <c r="Q11">
        <v>5851715</v>
      </c>
      <c r="R11">
        <v>0</v>
      </c>
      <c r="S11">
        <v>0</v>
      </c>
      <c r="T11">
        <v>0</v>
      </c>
      <c r="U11">
        <v>0</v>
      </c>
      <c r="V11">
        <v>0</v>
      </c>
      <c r="W11">
        <v>0</v>
      </c>
      <c r="X11">
        <v>0</v>
      </c>
      <c r="Y11">
        <v>17772</v>
      </c>
      <c r="Z11">
        <v>9581214</v>
      </c>
      <c r="AA11">
        <v>37544</v>
      </c>
      <c r="AB11">
        <v>0</v>
      </c>
      <c r="AC11">
        <v>2249056</v>
      </c>
      <c r="AD11">
        <v>0</v>
      </c>
      <c r="AE11">
        <v>0</v>
      </c>
      <c r="AF11">
        <v>3507096</v>
      </c>
      <c r="AG11">
        <v>0</v>
      </c>
      <c r="AH11">
        <v>0</v>
      </c>
      <c r="AI11">
        <v>0</v>
      </c>
      <c r="AJ11">
        <v>0</v>
      </c>
      <c r="AK11">
        <v>0</v>
      </c>
      <c r="AL11">
        <v>975835</v>
      </c>
      <c r="AM11">
        <v>0</v>
      </c>
      <c r="AN11">
        <v>200000</v>
      </c>
      <c r="AO11">
        <v>0</v>
      </c>
      <c r="AP11">
        <v>85175</v>
      </c>
      <c r="AQ11">
        <v>31816</v>
      </c>
      <c r="AR11">
        <v>0</v>
      </c>
      <c r="AS11">
        <v>0</v>
      </c>
      <c r="AT11">
        <v>0</v>
      </c>
      <c r="AU11">
        <v>42382387</v>
      </c>
      <c r="AV11">
        <v>14062474</v>
      </c>
      <c r="AW11">
        <v>21168</v>
      </c>
      <c r="AX11">
        <v>11000</v>
      </c>
      <c r="AY11">
        <v>0</v>
      </c>
      <c r="AZ11">
        <v>0</v>
      </c>
      <c r="BA11">
        <v>0</v>
      </c>
      <c r="BB11">
        <v>0</v>
      </c>
      <c r="BC11">
        <v>0</v>
      </c>
      <c r="BD11">
        <v>0</v>
      </c>
      <c r="BE11">
        <v>0</v>
      </c>
      <c r="BF11">
        <v>4013050</v>
      </c>
      <c r="BG11">
        <v>0</v>
      </c>
      <c r="BH11">
        <v>234629</v>
      </c>
      <c r="BI11">
        <v>0</v>
      </c>
      <c r="BJ11">
        <v>0</v>
      </c>
      <c r="BK11">
        <v>0</v>
      </c>
      <c r="BL11">
        <v>385443</v>
      </c>
      <c r="BM11">
        <v>978586</v>
      </c>
      <c r="BN11">
        <v>0</v>
      </c>
      <c r="BO11">
        <v>6320992</v>
      </c>
      <c r="BP11">
        <v>15889159</v>
      </c>
      <c r="BQ11">
        <v>0</v>
      </c>
      <c r="BR11">
        <v>437978</v>
      </c>
      <c r="BS11">
        <v>1270100</v>
      </c>
      <c r="BT11">
        <v>1309270</v>
      </c>
      <c r="BU11">
        <v>0</v>
      </c>
      <c r="BV11">
        <v>33212</v>
      </c>
      <c r="BW11">
        <v>500000</v>
      </c>
      <c r="BX11">
        <v>0</v>
      </c>
      <c r="BY11">
        <v>9638634</v>
      </c>
      <c r="BZ11">
        <v>0</v>
      </c>
      <c r="CA11">
        <v>165000</v>
      </c>
      <c r="CB11">
        <v>0</v>
      </c>
      <c r="CC11">
        <v>0</v>
      </c>
      <c r="CD11">
        <v>0</v>
      </c>
    </row>
    <row r="12" spans="1:82" x14ac:dyDescent="0.3">
      <c r="A12" s="155">
        <v>22</v>
      </c>
      <c r="B12" t="s">
        <v>203</v>
      </c>
      <c r="D12">
        <v>0</v>
      </c>
      <c r="E12">
        <v>0</v>
      </c>
      <c r="F12">
        <v>0</v>
      </c>
      <c r="G12">
        <v>0</v>
      </c>
      <c r="H12">
        <v>0</v>
      </c>
      <c r="I12">
        <v>0</v>
      </c>
      <c r="J12">
        <v>0</v>
      </c>
      <c r="K12">
        <v>0</v>
      </c>
      <c r="L12">
        <v>0</v>
      </c>
      <c r="M12">
        <v>316985</v>
      </c>
      <c r="N12">
        <v>0</v>
      </c>
      <c r="O12">
        <v>42832</v>
      </c>
      <c r="P12">
        <v>0</v>
      </c>
      <c r="Q12">
        <v>21475</v>
      </c>
      <c r="R12">
        <v>0</v>
      </c>
      <c r="S12">
        <v>0</v>
      </c>
      <c r="T12">
        <v>0</v>
      </c>
      <c r="U12">
        <v>0</v>
      </c>
      <c r="V12">
        <v>18943</v>
      </c>
      <c r="W12">
        <v>0</v>
      </c>
      <c r="X12">
        <v>0</v>
      </c>
      <c r="Y12">
        <v>24438</v>
      </c>
      <c r="Z12">
        <v>0</v>
      </c>
      <c r="AA12">
        <v>0</v>
      </c>
      <c r="AB12">
        <v>0</v>
      </c>
      <c r="AC12">
        <v>120799</v>
      </c>
      <c r="AD12">
        <v>0</v>
      </c>
      <c r="AE12">
        <v>32807</v>
      </c>
      <c r="AF12">
        <v>0</v>
      </c>
      <c r="AG12">
        <v>0</v>
      </c>
      <c r="AH12">
        <v>0</v>
      </c>
      <c r="AI12">
        <v>8985</v>
      </c>
      <c r="AJ12">
        <v>0</v>
      </c>
      <c r="AK12">
        <v>0</v>
      </c>
      <c r="AL12">
        <v>406879</v>
      </c>
      <c r="AM12">
        <v>0</v>
      </c>
      <c r="AN12">
        <v>0</v>
      </c>
      <c r="AO12">
        <v>0</v>
      </c>
      <c r="AP12">
        <v>0</v>
      </c>
      <c r="AQ12">
        <v>0</v>
      </c>
      <c r="AR12">
        <v>0</v>
      </c>
      <c r="AS12">
        <v>0</v>
      </c>
      <c r="AT12">
        <v>0</v>
      </c>
      <c r="AU12">
        <v>43783</v>
      </c>
      <c r="AV12">
        <v>0</v>
      </c>
      <c r="AW12">
        <v>0</v>
      </c>
      <c r="AX12">
        <v>0</v>
      </c>
      <c r="AY12">
        <v>0</v>
      </c>
      <c r="AZ12">
        <v>0</v>
      </c>
      <c r="BA12">
        <v>0</v>
      </c>
      <c r="BB12">
        <v>0</v>
      </c>
      <c r="BC12">
        <v>0</v>
      </c>
      <c r="BD12">
        <v>0</v>
      </c>
      <c r="BE12">
        <v>0</v>
      </c>
      <c r="BF12">
        <v>0</v>
      </c>
      <c r="BG12">
        <v>0</v>
      </c>
      <c r="BH12">
        <v>0</v>
      </c>
      <c r="BI12">
        <v>35493</v>
      </c>
      <c r="BJ12">
        <v>0</v>
      </c>
      <c r="BK12">
        <v>0</v>
      </c>
      <c r="BL12">
        <v>0</v>
      </c>
      <c r="BM12">
        <v>45080</v>
      </c>
      <c r="BN12">
        <v>39696</v>
      </c>
      <c r="BO12">
        <v>1116953</v>
      </c>
      <c r="BP12">
        <v>0</v>
      </c>
      <c r="BQ12">
        <v>0</v>
      </c>
      <c r="BR12">
        <v>4000</v>
      </c>
      <c r="BS12">
        <v>0</v>
      </c>
      <c r="BT12">
        <v>144064</v>
      </c>
      <c r="BU12">
        <v>0</v>
      </c>
      <c r="BV12">
        <v>0</v>
      </c>
      <c r="BW12">
        <v>0</v>
      </c>
      <c r="BX12">
        <v>0</v>
      </c>
      <c r="BY12">
        <v>0</v>
      </c>
      <c r="BZ12">
        <v>0</v>
      </c>
      <c r="CA12">
        <v>45876</v>
      </c>
      <c r="CB12">
        <v>8600</v>
      </c>
      <c r="CC12">
        <v>3636</v>
      </c>
      <c r="CD12">
        <v>0</v>
      </c>
    </row>
    <row r="13" spans="1:82" x14ac:dyDescent="0.3">
      <c r="A13" s="155">
        <v>23</v>
      </c>
      <c r="B13" t="s">
        <v>206</v>
      </c>
      <c r="D13">
        <v>-4120</v>
      </c>
      <c r="E13">
        <v>-41740</v>
      </c>
      <c r="F13">
        <v>62227</v>
      </c>
      <c r="G13">
        <v>-40342</v>
      </c>
      <c r="H13">
        <v>152764</v>
      </c>
      <c r="I13">
        <v>24616</v>
      </c>
      <c r="J13">
        <v>-4429</v>
      </c>
      <c r="K13">
        <v>-65693</v>
      </c>
      <c r="L13">
        <v>207061</v>
      </c>
      <c r="M13">
        <v>2077023</v>
      </c>
      <c r="N13">
        <v>565646</v>
      </c>
      <c r="O13">
        <v>1207386</v>
      </c>
      <c r="P13">
        <v>18453</v>
      </c>
      <c r="Q13">
        <v>-1661606</v>
      </c>
      <c r="R13">
        <v>27122</v>
      </c>
      <c r="S13">
        <v>58248</v>
      </c>
      <c r="T13">
        <v>629484</v>
      </c>
      <c r="U13">
        <v>397535</v>
      </c>
      <c r="V13">
        <v>1028619</v>
      </c>
      <c r="W13">
        <v>-154924</v>
      </c>
      <c r="X13">
        <v>171763</v>
      </c>
      <c r="Y13">
        <v>144283</v>
      </c>
      <c r="Z13">
        <v>1988762</v>
      </c>
      <c r="AA13">
        <v>540582</v>
      </c>
      <c r="AB13">
        <v>130594</v>
      </c>
      <c r="AC13">
        <v>877047</v>
      </c>
      <c r="AD13">
        <v>155210</v>
      </c>
      <c r="AE13">
        <v>223880</v>
      </c>
      <c r="AF13">
        <v>6005572</v>
      </c>
      <c r="AG13">
        <v>175164</v>
      </c>
      <c r="AH13">
        <v>53157</v>
      </c>
      <c r="AI13">
        <v>449758</v>
      </c>
      <c r="AJ13">
        <v>444546</v>
      </c>
      <c r="AK13">
        <v>17956</v>
      </c>
      <c r="AL13">
        <v>10763037</v>
      </c>
      <c r="AM13">
        <v>153123</v>
      </c>
      <c r="AN13">
        <v>1407592</v>
      </c>
      <c r="AO13">
        <v>42889</v>
      </c>
      <c r="AP13">
        <v>1698445</v>
      </c>
      <c r="AQ13">
        <v>587309</v>
      </c>
      <c r="AR13">
        <v>28461</v>
      </c>
      <c r="AS13">
        <v>552575</v>
      </c>
      <c r="AT13">
        <v>165161</v>
      </c>
      <c r="AU13">
        <v>10333212</v>
      </c>
      <c r="AV13">
        <v>3331466</v>
      </c>
      <c r="AW13">
        <v>176280</v>
      </c>
      <c r="AX13">
        <v>-18758</v>
      </c>
      <c r="AY13">
        <v>120935</v>
      </c>
      <c r="AZ13">
        <v>-38924</v>
      </c>
      <c r="BA13">
        <v>-8334</v>
      </c>
      <c r="BB13">
        <v>572728</v>
      </c>
      <c r="BC13">
        <v>86706</v>
      </c>
      <c r="BD13">
        <v>19895</v>
      </c>
      <c r="BE13">
        <v>18387</v>
      </c>
      <c r="BF13">
        <v>204757</v>
      </c>
      <c r="BG13">
        <v>2875</v>
      </c>
      <c r="BH13">
        <v>790467</v>
      </c>
      <c r="BI13">
        <v>314368</v>
      </c>
      <c r="BJ13">
        <v>36806</v>
      </c>
      <c r="BK13">
        <v>-19949</v>
      </c>
      <c r="BL13">
        <v>-209232</v>
      </c>
      <c r="BM13">
        <v>126935</v>
      </c>
      <c r="BN13">
        <v>602914</v>
      </c>
      <c r="BO13">
        <v>3907529</v>
      </c>
      <c r="BP13">
        <v>4602194</v>
      </c>
      <c r="BQ13">
        <v>54325</v>
      </c>
      <c r="BR13">
        <v>47565</v>
      </c>
      <c r="BS13">
        <v>-950718</v>
      </c>
      <c r="BT13">
        <v>1558425</v>
      </c>
      <c r="BU13">
        <v>1588</v>
      </c>
      <c r="BV13">
        <v>-112167</v>
      </c>
      <c r="BW13">
        <v>555354</v>
      </c>
      <c r="BX13">
        <v>108959</v>
      </c>
      <c r="BY13">
        <v>4792455</v>
      </c>
      <c r="BZ13">
        <v>1894</v>
      </c>
      <c r="CA13">
        <v>575569</v>
      </c>
      <c r="CB13">
        <v>192086</v>
      </c>
      <c r="CC13">
        <v>621412</v>
      </c>
      <c r="CD13">
        <v>1204539</v>
      </c>
    </row>
    <row r="14" spans="1:82" x14ac:dyDescent="0.3">
      <c r="A14" s="155">
        <v>44</v>
      </c>
      <c r="B14" t="s">
        <v>878</v>
      </c>
      <c r="D14">
        <v>366734</v>
      </c>
      <c r="E14">
        <v>465570</v>
      </c>
      <c r="F14">
        <v>0</v>
      </c>
      <c r="G14">
        <v>1112394</v>
      </c>
      <c r="H14">
        <v>700167</v>
      </c>
      <c r="I14">
        <v>137173</v>
      </c>
      <c r="J14">
        <v>0</v>
      </c>
      <c r="K14">
        <v>337119</v>
      </c>
      <c r="L14">
        <v>3808447</v>
      </c>
      <c r="M14">
        <v>0</v>
      </c>
      <c r="N14">
        <v>0</v>
      </c>
      <c r="O14">
        <v>0</v>
      </c>
      <c r="P14">
        <v>47895</v>
      </c>
      <c r="Q14">
        <v>2890614</v>
      </c>
      <c r="R14">
        <v>0</v>
      </c>
      <c r="S14">
        <v>398759</v>
      </c>
      <c r="T14">
        <v>1549530</v>
      </c>
      <c r="U14">
        <v>1260478</v>
      </c>
      <c r="V14">
        <v>8356260</v>
      </c>
      <c r="W14">
        <v>0</v>
      </c>
      <c r="X14">
        <v>382375</v>
      </c>
      <c r="Y14">
        <v>406852</v>
      </c>
      <c r="Z14">
        <v>39375862</v>
      </c>
      <c r="AA14">
        <v>50060</v>
      </c>
      <c r="AB14">
        <v>715858</v>
      </c>
      <c r="AC14">
        <v>0</v>
      </c>
      <c r="AD14">
        <v>0</v>
      </c>
      <c r="AE14">
        <v>0</v>
      </c>
      <c r="AF14">
        <v>31521635</v>
      </c>
      <c r="AG14">
        <v>386</v>
      </c>
      <c r="AH14">
        <v>97120</v>
      </c>
      <c r="AI14">
        <v>3582879</v>
      </c>
      <c r="AJ14">
        <v>104633</v>
      </c>
      <c r="AK14">
        <v>66474</v>
      </c>
      <c r="AL14">
        <v>18160973</v>
      </c>
      <c r="AM14">
        <v>326895</v>
      </c>
      <c r="AN14">
        <v>13218088</v>
      </c>
      <c r="AO14">
        <v>0</v>
      </c>
      <c r="AP14">
        <v>3078935</v>
      </c>
      <c r="AQ14">
        <v>0</v>
      </c>
      <c r="AR14">
        <v>0</v>
      </c>
      <c r="AS14">
        <v>1595262</v>
      </c>
      <c r="AT14">
        <v>320506</v>
      </c>
      <c r="AU14">
        <v>67407186</v>
      </c>
      <c r="AV14">
        <v>15594303</v>
      </c>
      <c r="AW14">
        <v>917724</v>
      </c>
      <c r="AX14">
        <v>279051</v>
      </c>
      <c r="AY14">
        <v>78968</v>
      </c>
      <c r="AZ14">
        <v>-41451</v>
      </c>
      <c r="BA14">
        <v>-66197</v>
      </c>
      <c r="BB14">
        <v>4691496</v>
      </c>
      <c r="BC14">
        <v>398770</v>
      </c>
      <c r="BD14">
        <v>0</v>
      </c>
      <c r="BE14">
        <v>176423</v>
      </c>
      <c r="BF14">
        <v>11459682</v>
      </c>
      <c r="BG14">
        <v>0</v>
      </c>
      <c r="BH14">
        <v>10576291</v>
      </c>
      <c r="BI14">
        <v>1000861</v>
      </c>
      <c r="BJ14">
        <v>0</v>
      </c>
      <c r="BK14">
        <v>0</v>
      </c>
      <c r="BL14">
        <v>37468401</v>
      </c>
      <c r="BM14">
        <v>14928792</v>
      </c>
      <c r="BN14">
        <v>1187416</v>
      </c>
      <c r="BO14">
        <v>38759862</v>
      </c>
      <c r="BP14">
        <v>46880746</v>
      </c>
      <c r="BQ14">
        <v>278529</v>
      </c>
      <c r="BR14">
        <v>2788315</v>
      </c>
      <c r="BS14">
        <v>0</v>
      </c>
      <c r="BT14">
        <v>13685167</v>
      </c>
      <c r="BU14">
        <v>292990</v>
      </c>
      <c r="BV14">
        <v>25768</v>
      </c>
      <c r="BW14">
        <v>2285958</v>
      </c>
      <c r="BX14">
        <v>0</v>
      </c>
      <c r="BY14">
        <v>59628956</v>
      </c>
      <c r="BZ14">
        <v>683752</v>
      </c>
      <c r="CA14">
        <v>0</v>
      </c>
      <c r="CB14">
        <v>352216</v>
      </c>
      <c r="CC14">
        <v>0</v>
      </c>
      <c r="CD14">
        <v>0</v>
      </c>
    </row>
    <row r="15" spans="1:82" x14ac:dyDescent="0.3">
      <c r="A15" s="155">
        <v>45</v>
      </c>
      <c r="B15" t="s">
        <v>879</v>
      </c>
      <c r="D15">
        <v>116674</v>
      </c>
      <c r="E15">
        <v>239916</v>
      </c>
      <c r="F15">
        <v>0</v>
      </c>
      <c r="G15">
        <v>35788</v>
      </c>
      <c r="H15">
        <v>170962</v>
      </c>
      <c r="I15">
        <v>33717</v>
      </c>
      <c r="J15">
        <v>0</v>
      </c>
      <c r="K15">
        <v>108984</v>
      </c>
      <c r="L15">
        <v>608071</v>
      </c>
      <c r="M15">
        <v>0</v>
      </c>
      <c r="N15">
        <v>0</v>
      </c>
      <c r="O15">
        <v>0</v>
      </c>
      <c r="P15">
        <v>17148</v>
      </c>
      <c r="Q15">
        <v>75479</v>
      </c>
      <c r="R15">
        <v>0</v>
      </c>
      <c r="S15">
        <v>34260</v>
      </c>
      <c r="T15">
        <v>400853</v>
      </c>
      <c r="U15">
        <v>36612</v>
      </c>
      <c r="V15">
        <v>1010818</v>
      </c>
      <c r="W15">
        <v>0</v>
      </c>
      <c r="X15">
        <v>59083</v>
      </c>
      <c r="Y15">
        <v>57114</v>
      </c>
      <c r="Z15">
        <v>3906012</v>
      </c>
      <c r="AA15">
        <v>0</v>
      </c>
      <c r="AB15">
        <v>22160</v>
      </c>
      <c r="AC15">
        <v>0</v>
      </c>
      <c r="AD15">
        <v>0</v>
      </c>
      <c r="AE15">
        <v>0</v>
      </c>
      <c r="AF15">
        <v>10563556</v>
      </c>
      <c r="AG15">
        <v>1959</v>
      </c>
      <c r="AH15">
        <v>23079</v>
      </c>
      <c r="AI15">
        <v>728140</v>
      </c>
      <c r="AJ15">
        <v>0</v>
      </c>
      <c r="AK15">
        <v>2275</v>
      </c>
      <c r="AL15">
        <v>3791801</v>
      </c>
      <c r="AM15">
        <v>53343</v>
      </c>
      <c r="AN15">
        <v>870842</v>
      </c>
      <c r="AO15">
        <v>0</v>
      </c>
      <c r="AP15">
        <v>228547</v>
      </c>
      <c r="AQ15">
        <v>0</v>
      </c>
      <c r="AR15">
        <v>0</v>
      </c>
      <c r="AS15">
        <v>369807</v>
      </c>
      <c r="AT15">
        <v>8311</v>
      </c>
      <c r="AU15">
        <v>27332609</v>
      </c>
      <c r="AV15">
        <v>9467581</v>
      </c>
      <c r="AW15">
        <v>232071</v>
      </c>
      <c r="AX15">
        <v>239617</v>
      </c>
      <c r="AY15">
        <v>55545</v>
      </c>
      <c r="AZ15">
        <v>82270</v>
      </c>
      <c r="BA15">
        <v>142490</v>
      </c>
      <c r="BB15">
        <v>105270</v>
      </c>
      <c r="BC15">
        <v>9238</v>
      </c>
      <c r="BD15">
        <v>0</v>
      </c>
      <c r="BE15">
        <v>20413</v>
      </c>
      <c r="BF15">
        <v>1982477</v>
      </c>
      <c r="BG15">
        <v>0</v>
      </c>
      <c r="BH15">
        <v>1116004</v>
      </c>
      <c r="BI15">
        <v>233475</v>
      </c>
      <c r="BJ15">
        <v>0</v>
      </c>
      <c r="BK15">
        <v>0</v>
      </c>
      <c r="BL15">
        <v>2553281</v>
      </c>
      <c r="BM15">
        <v>5639469</v>
      </c>
      <c r="BN15">
        <v>563441</v>
      </c>
      <c r="BO15">
        <v>4955133</v>
      </c>
      <c r="BP15">
        <v>13413527</v>
      </c>
      <c r="BQ15">
        <v>20950</v>
      </c>
      <c r="BR15">
        <v>379536</v>
      </c>
      <c r="BS15">
        <v>0</v>
      </c>
      <c r="BT15">
        <v>3822200</v>
      </c>
      <c r="BU15">
        <v>3533</v>
      </c>
      <c r="BV15">
        <v>19547</v>
      </c>
      <c r="BW15">
        <v>331910</v>
      </c>
      <c r="BX15">
        <v>0</v>
      </c>
      <c r="BY15">
        <v>7070893</v>
      </c>
      <c r="BZ15">
        <v>194064</v>
      </c>
      <c r="CA15">
        <v>0</v>
      </c>
      <c r="CB15">
        <v>10949</v>
      </c>
      <c r="CC15">
        <v>0</v>
      </c>
      <c r="CD15">
        <v>0</v>
      </c>
    </row>
    <row r="16" spans="1:82" x14ac:dyDescent="0.3">
      <c r="A16" s="155">
        <v>47</v>
      </c>
      <c r="B16" s="551" t="s">
        <v>880</v>
      </c>
      <c r="D16">
        <v>0</v>
      </c>
      <c r="E16">
        <v>0</v>
      </c>
      <c r="F16">
        <v>0</v>
      </c>
      <c r="G16">
        <v>0</v>
      </c>
      <c r="H16">
        <v>0</v>
      </c>
      <c r="I16">
        <v>0</v>
      </c>
      <c r="J16">
        <v>0</v>
      </c>
      <c r="K16">
        <v>0</v>
      </c>
      <c r="L16">
        <v>1628807</v>
      </c>
      <c r="M16">
        <v>0</v>
      </c>
      <c r="N16">
        <v>0</v>
      </c>
      <c r="O16">
        <v>0</v>
      </c>
      <c r="P16">
        <v>0</v>
      </c>
      <c r="Q16">
        <v>2835752</v>
      </c>
      <c r="R16">
        <v>0</v>
      </c>
      <c r="S16">
        <v>1090929</v>
      </c>
      <c r="T16">
        <v>0</v>
      </c>
      <c r="U16">
        <v>0</v>
      </c>
      <c r="V16">
        <v>0</v>
      </c>
      <c r="W16">
        <v>0</v>
      </c>
      <c r="X16">
        <v>0</v>
      </c>
      <c r="Y16">
        <v>594813</v>
      </c>
      <c r="Z16">
        <v>0</v>
      </c>
      <c r="AA16">
        <v>0</v>
      </c>
      <c r="AB16">
        <v>0</v>
      </c>
      <c r="AC16">
        <v>0</v>
      </c>
      <c r="AD16">
        <v>0</v>
      </c>
      <c r="AE16">
        <v>0</v>
      </c>
      <c r="AF16">
        <v>61511471</v>
      </c>
      <c r="AG16">
        <v>0</v>
      </c>
      <c r="AH16">
        <v>0</v>
      </c>
      <c r="AI16">
        <v>0</v>
      </c>
      <c r="AJ16">
        <v>0</v>
      </c>
      <c r="AK16">
        <v>0</v>
      </c>
      <c r="AL16">
        <v>0</v>
      </c>
      <c r="AM16">
        <v>0</v>
      </c>
      <c r="AN16">
        <v>0</v>
      </c>
      <c r="AO16">
        <v>0</v>
      </c>
      <c r="AP16">
        <v>7915721</v>
      </c>
      <c r="AQ16">
        <v>0</v>
      </c>
      <c r="AR16">
        <v>0</v>
      </c>
      <c r="AS16">
        <v>0</v>
      </c>
      <c r="AT16">
        <v>0</v>
      </c>
      <c r="AU16">
        <v>0</v>
      </c>
      <c r="AV16">
        <v>43075783</v>
      </c>
      <c r="AW16">
        <v>0</v>
      </c>
      <c r="AX16">
        <v>0</v>
      </c>
      <c r="AY16">
        <v>0</v>
      </c>
      <c r="AZ16">
        <v>0</v>
      </c>
      <c r="BA16">
        <v>561754</v>
      </c>
      <c r="BB16">
        <v>0</v>
      </c>
      <c r="BC16">
        <v>0</v>
      </c>
      <c r="BD16">
        <v>0</v>
      </c>
      <c r="BE16">
        <v>0</v>
      </c>
      <c r="BF16">
        <v>0</v>
      </c>
      <c r="BG16">
        <v>0</v>
      </c>
      <c r="BH16">
        <v>0</v>
      </c>
      <c r="BI16">
        <v>0</v>
      </c>
      <c r="BJ16">
        <v>0</v>
      </c>
      <c r="BK16">
        <v>0</v>
      </c>
      <c r="BL16">
        <v>0</v>
      </c>
      <c r="BM16">
        <v>0</v>
      </c>
      <c r="BN16">
        <v>1672724</v>
      </c>
      <c r="BO16">
        <v>0</v>
      </c>
      <c r="BP16">
        <v>85524343</v>
      </c>
      <c r="BQ16">
        <v>0</v>
      </c>
      <c r="BR16">
        <v>9053309</v>
      </c>
      <c r="BS16">
        <v>0</v>
      </c>
      <c r="BT16">
        <v>0</v>
      </c>
      <c r="BU16">
        <v>384070</v>
      </c>
      <c r="BV16">
        <v>0</v>
      </c>
      <c r="BW16">
        <v>0</v>
      </c>
      <c r="BX16">
        <v>0</v>
      </c>
      <c r="BY16">
        <v>0</v>
      </c>
      <c r="BZ16">
        <v>337932</v>
      </c>
      <c r="CA16">
        <v>0</v>
      </c>
      <c r="CB16">
        <v>0</v>
      </c>
      <c r="CC16">
        <v>0</v>
      </c>
      <c r="CD16">
        <v>9719587</v>
      </c>
    </row>
    <row r="17" spans="1:82" x14ac:dyDescent="0.3">
      <c r="A17" s="155">
        <v>48</v>
      </c>
      <c r="B17" s="551" t="s">
        <v>115</v>
      </c>
      <c r="D17">
        <v>0</v>
      </c>
      <c r="E17">
        <v>0</v>
      </c>
      <c r="F17">
        <v>0</v>
      </c>
      <c r="G17">
        <v>0</v>
      </c>
      <c r="H17">
        <v>0</v>
      </c>
      <c r="I17">
        <v>0</v>
      </c>
      <c r="J17">
        <v>0</v>
      </c>
      <c r="K17">
        <v>0</v>
      </c>
      <c r="L17">
        <v>454617</v>
      </c>
      <c r="M17">
        <v>0</v>
      </c>
      <c r="N17">
        <v>0</v>
      </c>
      <c r="O17">
        <v>0</v>
      </c>
      <c r="P17">
        <v>0</v>
      </c>
      <c r="Q17">
        <v>98163</v>
      </c>
      <c r="R17">
        <v>0</v>
      </c>
      <c r="S17">
        <v>35305</v>
      </c>
      <c r="T17">
        <v>0</v>
      </c>
      <c r="U17">
        <v>0</v>
      </c>
      <c r="V17">
        <v>0</v>
      </c>
      <c r="W17">
        <v>0</v>
      </c>
      <c r="X17">
        <v>0</v>
      </c>
      <c r="Y17">
        <v>120241</v>
      </c>
      <c r="Z17">
        <v>0</v>
      </c>
      <c r="AA17">
        <v>0</v>
      </c>
      <c r="AB17">
        <v>0</v>
      </c>
      <c r="AC17">
        <v>0</v>
      </c>
      <c r="AD17">
        <v>0</v>
      </c>
      <c r="AE17">
        <v>0</v>
      </c>
      <c r="AF17">
        <v>7624574</v>
      </c>
      <c r="AG17">
        <v>0</v>
      </c>
      <c r="AH17">
        <v>0</v>
      </c>
      <c r="AI17">
        <v>0</v>
      </c>
      <c r="AJ17">
        <v>0</v>
      </c>
      <c r="AK17">
        <v>0</v>
      </c>
      <c r="AL17">
        <v>0</v>
      </c>
      <c r="AM17">
        <v>0</v>
      </c>
      <c r="AN17">
        <v>0</v>
      </c>
      <c r="AO17">
        <v>0</v>
      </c>
      <c r="AP17">
        <v>494059</v>
      </c>
      <c r="AQ17">
        <v>0</v>
      </c>
      <c r="AR17">
        <v>0</v>
      </c>
      <c r="AS17">
        <v>0</v>
      </c>
      <c r="AT17">
        <v>0</v>
      </c>
      <c r="AU17">
        <v>0</v>
      </c>
      <c r="AV17">
        <v>17031760</v>
      </c>
      <c r="AW17">
        <v>0</v>
      </c>
      <c r="AX17">
        <v>0</v>
      </c>
      <c r="AY17">
        <v>0</v>
      </c>
      <c r="AZ17">
        <v>0</v>
      </c>
      <c r="BA17">
        <v>40234</v>
      </c>
      <c r="BB17">
        <v>0</v>
      </c>
      <c r="BC17">
        <v>0</v>
      </c>
      <c r="BD17">
        <v>0</v>
      </c>
      <c r="BE17">
        <v>0</v>
      </c>
      <c r="BF17">
        <v>0</v>
      </c>
      <c r="BG17">
        <v>0</v>
      </c>
      <c r="BH17">
        <v>0</v>
      </c>
      <c r="BI17">
        <v>0</v>
      </c>
      <c r="BJ17">
        <v>0</v>
      </c>
      <c r="BK17">
        <v>0</v>
      </c>
      <c r="BL17">
        <v>0</v>
      </c>
      <c r="BM17">
        <v>0</v>
      </c>
      <c r="BN17">
        <v>448373</v>
      </c>
      <c r="BO17">
        <v>0</v>
      </c>
      <c r="BP17">
        <v>12840091</v>
      </c>
      <c r="BQ17">
        <v>0</v>
      </c>
      <c r="BR17">
        <v>240617</v>
      </c>
      <c r="BS17">
        <v>0</v>
      </c>
      <c r="BT17">
        <v>0</v>
      </c>
      <c r="BU17">
        <v>35714</v>
      </c>
      <c r="BV17">
        <v>0</v>
      </c>
      <c r="BW17">
        <v>0</v>
      </c>
      <c r="BX17">
        <v>0</v>
      </c>
      <c r="BY17">
        <v>0</v>
      </c>
      <c r="BZ17">
        <v>101752</v>
      </c>
      <c r="CA17">
        <v>0</v>
      </c>
      <c r="CB17">
        <v>0</v>
      </c>
      <c r="CC17">
        <v>0</v>
      </c>
      <c r="CD17">
        <v>2444690</v>
      </c>
    </row>
    <row r="18" spans="1:82" x14ac:dyDescent="0.3">
      <c r="A18" s="155">
        <v>49</v>
      </c>
      <c r="B18" t="s">
        <v>219</v>
      </c>
      <c r="D18">
        <v>187283</v>
      </c>
      <c r="E18">
        <v>316260</v>
      </c>
      <c r="F18">
        <v>0</v>
      </c>
      <c r="G18">
        <v>352373</v>
      </c>
      <c r="H18">
        <v>197664</v>
      </c>
      <c r="I18">
        <v>16381</v>
      </c>
      <c r="J18">
        <v>0</v>
      </c>
      <c r="K18">
        <v>151355</v>
      </c>
      <c r="L18">
        <v>1144529</v>
      </c>
      <c r="M18">
        <v>0</v>
      </c>
      <c r="N18">
        <v>0</v>
      </c>
      <c r="O18">
        <v>0</v>
      </c>
      <c r="P18">
        <v>120631</v>
      </c>
      <c r="Q18">
        <v>1451285</v>
      </c>
      <c r="R18">
        <v>0</v>
      </c>
      <c r="S18">
        <v>141411</v>
      </c>
      <c r="T18">
        <v>95835</v>
      </c>
      <c r="U18">
        <v>59224</v>
      </c>
      <c r="V18">
        <v>719061</v>
      </c>
      <c r="W18">
        <v>0</v>
      </c>
      <c r="X18">
        <v>227379</v>
      </c>
      <c r="Y18">
        <v>328156</v>
      </c>
      <c r="Z18">
        <v>5225507</v>
      </c>
      <c r="AA18">
        <v>69505</v>
      </c>
      <c r="AB18">
        <v>98367</v>
      </c>
      <c r="AC18">
        <v>0</v>
      </c>
      <c r="AD18">
        <v>0</v>
      </c>
      <c r="AE18">
        <v>0</v>
      </c>
      <c r="AF18">
        <v>8590895</v>
      </c>
      <c r="AG18">
        <v>0</v>
      </c>
      <c r="AH18">
        <v>45512</v>
      </c>
      <c r="AI18">
        <v>102310</v>
      </c>
      <c r="AJ18">
        <v>71782</v>
      </c>
      <c r="AK18">
        <v>5375</v>
      </c>
      <c r="AL18">
        <v>4940464</v>
      </c>
      <c r="AM18">
        <v>190993</v>
      </c>
      <c r="AN18">
        <v>1086096</v>
      </c>
      <c r="AO18">
        <v>0</v>
      </c>
      <c r="AP18">
        <v>696162</v>
      </c>
      <c r="AQ18">
        <v>0</v>
      </c>
      <c r="AR18">
        <v>0</v>
      </c>
      <c r="AS18">
        <v>147915</v>
      </c>
      <c r="AT18">
        <v>132194</v>
      </c>
      <c r="AU18">
        <v>33247380</v>
      </c>
      <c r="AV18">
        <v>12365977</v>
      </c>
      <c r="AW18">
        <v>153648</v>
      </c>
      <c r="AX18">
        <v>162767</v>
      </c>
      <c r="AY18">
        <v>87349</v>
      </c>
      <c r="AZ18">
        <v>102439</v>
      </c>
      <c r="BA18">
        <v>85073</v>
      </c>
      <c r="BB18">
        <v>601339</v>
      </c>
      <c r="BC18">
        <v>141442</v>
      </c>
      <c r="BD18">
        <v>0</v>
      </c>
      <c r="BE18">
        <v>43601</v>
      </c>
      <c r="BF18">
        <v>1850455</v>
      </c>
      <c r="BG18">
        <v>0</v>
      </c>
      <c r="BH18">
        <v>1350806</v>
      </c>
      <c r="BI18">
        <v>200084</v>
      </c>
      <c r="BJ18">
        <v>0</v>
      </c>
      <c r="BK18">
        <v>0</v>
      </c>
      <c r="BL18">
        <v>2387157</v>
      </c>
      <c r="BM18">
        <v>3789761</v>
      </c>
      <c r="BN18">
        <v>778751</v>
      </c>
      <c r="BO18">
        <v>5726448</v>
      </c>
      <c r="BP18">
        <v>14948151</v>
      </c>
      <c r="BQ18">
        <v>90593</v>
      </c>
      <c r="BR18">
        <v>968031</v>
      </c>
      <c r="BS18">
        <v>0</v>
      </c>
      <c r="BT18">
        <v>1819090</v>
      </c>
      <c r="BU18">
        <v>139366</v>
      </c>
      <c r="BV18">
        <v>57675</v>
      </c>
      <c r="BW18">
        <v>622111</v>
      </c>
      <c r="BX18">
        <v>0</v>
      </c>
      <c r="BY18">
        <v>4338312</v>
      </c>
      <c r="BZ18">
        <v>42788</v>
      </c>
      <c r="CA18">
        <v>0</v>
      </c>
      <c r="CB18">
        <v>33777</v>
      </c>
      <c r="CC18">
        <v>0</v>
      </c>
      <c r="CD18">
        <v>0</v>
      </c>
    </row>
    <row r="19" spans="1:82" x14ac:dyDescent="0.3">
      <c r="A19" s="155">
        <v>50</v>
      </c>
      <c r="B19" t="s">
        <v>92</v>
      </c>
      <c r="D19">
        <v>27173</v>
      </c>
      <c r="E19">
        <v>-210584</v>
      </c>
      <c r="F19">
        <v>0</v>
      </c>
      <c r="G19">
        <v>37739</v>
      </c>
      <c r="H19">
        <v>-43817</v>
      </c>
      <c r="I19">
        <v>-22651</v>
      </c>
      <c r="J19">
        <v>0</v>
      </c>
      <c r="K19">
        <v>-98987</v>
      </c>
      <c r="L19">
        <v>627885</v>
      </c>
      <c r="M19">
        <v>0</v>
      </c>
      <c r="N19">
        <v>0</v>
      </c>
      <c r="O19">
        <v>0</v>
      </c>
      <c r="P19">
        <v>398426</v>
      </c>
      <c r="Q19">
        <v>5976362</v>
      </c>
      <c r="R19">
        <v>0</v>
      </c>
      <c r="S19">
        <v>-82674</v>
      </c>
      <c r="T19">
        <v>1297093</v>
      </c>
      <c r="U19">
        <v>184331</v>
      </c>
      <c r="V19">
        <v>1478348</v>
      </c>
      <c r="W19">
        <v>0</v>
      </c>
      <c r="X19">
        <v>17229</v>
      </c>
      <c r="Y19">
        <v>27954</v>
      </c>
      <c r="Z19">
        <v>15475062</v>
      </c>
      <c r="AA19">
        <v>-47844</v>
      </c>
      <c r="AB19">
        <v>83937</v>
      </c>
      <c r="AC19">
        <v>0</v>
      </c>
      <c r="AD19">
        <v>0</v>
      </c>
      <c r="AE19">
        <v>0</v>
      </c>
      <c r="AF19">
        <v>7765318</v>
      </c>
      <c r="AG19">
        <v>-255</v>
      </c>
      <c r="AH19">
        <v>-96586</v>
      </c>
      <c r="AI19">
        <v>649676</v>
      </c>
      <c r="AJ19">
        <v>-61958</v>
      </c>
      <c r="AK19">
        <v>24249</v>
      </c>
      <c r="AL19">
        <v>4358429</v>
      </c>
      <c r="AM19">
        <v>-66665</v>
      </c>
      <c r="AN19">
        <v>3316169</v>
      </c>
      <c r="AO19">
        <v>0</v>
      </c>
      <c r="AP19">
        <v>-342406</v>
      </c>
      <c r="AQ19">
        <v>0</v>
      </c>
      <c r="AR19">
        <v>0</v>
      </c>
      <c r="AS19">
        <v>285388</v>
      </c>
      <c r="AT19">
        <v>812575</v>
      </c>
      <c r="AU19">
        <v>20348028</v>
      </c>
      <c r="AV19">
        <v>22965527</v>
      </c>
      <c r="AW19">
        <v>486329</v>
      </c>
      <c r="AX19">
        <v>-161461</v>
      </c>
      <c r="AY19">
        <v>-68283</v>
      </c>
      <c r="AZ19">
        <v>-47026</v>
      </c>
      <c r="BA19">
        <v>-136404</v>
      </c>
      <c r="BB19">
        <v>-81010</v>
      </c>
      <c r="BC19">
        <v>-103677</v>
      </c>
      <c r="BD19">
        <v>0</v>
      </c>
      <c r="BE19">
        <v>-4847</v>
      </c>
      <c r="BF19">
        <v>1771707</v>
      </c>
      <c r="BG19">
        <v>0</v>
      </c>
      <c r="BH19">
        <v>401610</v>
      </c>
      <c r="BI19">
        <v>-117201</v>
      </c>
      <c r="BJ19">
        <v>0</v>
      </c>
      <c r="BK19">
        <v>0</v>
      </c>
      <c r="BL19">
        <v>4778189</v>
      </c>
      <c r="BM19">
        <v>2606226</v>
      </c>
      <c r="BN19">
        <v>-55058</v>
      </c>
      <c r="BO19">
        <v>3383496</v>
      </c>
      <c r="BP19">
        <v>4292901</v>
      </c>
      <c r="BQ19">
        <v>102690</v>
      </c>
      <c r="BR19">
        <v>402578</v>
      </c>
      <c r="BS19">
        <v>0</v>
      </c>
      <c r="BT19">
        <v>2549289</v>
      </c>
      <c r="BU19">
        <v>35930</v>
      </c>
      <c r="BV19">
        <v>77035</v>
      </c>
      <c r="BW19">
        <v>17256</v>
      </c>
      <c r="BX19">
        <v>0</v>
      </c>
      <c r="BY19">
        <v>24677409</v>
      </c>
      <c r="BZ19">
        <v>582031</v>
      </c>
      <c r="CA19">
        <v>0</v>
      </c>
      <c r="CB19">
        <v>218114</v>
      </c>
      <c r="CC19">
        <v>0</v>
      </c>
      <c r="CD19">
        <v>0</v>
      </c>
    </row>
    <row r="20" spans="1:82" x14ac:dyDescent="0.3">
      <c r="A20" s="155">
        <v>51</v>
      </c>
      <c r="B20" t="s">
        <v>237</v>
      </c>
      <c r="D20">
        <v>156248</v>
      </c>
      <c r="E20">
        <v>183433</v>
      </c>
      <c r="F20">
        <v>0</v>
      </c>
      <c r="G20">
        <v>66830</v>
      </c>
      <c r="H20">
        <v>222182</v>
      </c>
      <c r="I20">
        <v>8409</v>
      </c>
      <c r="J20">
        <v>0</v>
      </c>
      <c r="K20">
        <v>76627</v>
      </c>
      <c r="L20">
        <v>1224277</v>
      </c>
      <c r="M20">
        <v>0</v>
      </c>
      <c r="N20">
        <v>0</v>
      </c>
      <c r="O20">
        <v>0</v>
      </c>
      <c r="P20">
        <v>528991</v>
      </c>
      <c r="Q20">
        <v>1249369</v>
      </c>
      <c r="R20">
        <v>0</v>
      </c>
      <c r="S20">
        <v>60711</v>
      </c>
      <c r="T20">
        <v>714415</v>
      </c>
      <c r="U20">
        <v>184330</v>
      </c>
      <c r="V20">
        <v>2075667</v>
      </c>
      <c r="W20">
        <v>0</v>
      </c>
      <c r="X20">
        <v>50935</v>
      </c>
      <c r="Y20">
        <v>414194</v>
      </c>
      <c r="Z20">
        <v>16139415</v>
      </c>
      <c r="AA20">
        <v>-16427</v>
      </c>
      <c r="AB20">
        <v>128440</v>
      </c>
      <c r="AC20">
        <v>0</v>
      </c>
      <c r="AD20">
        <v>0</v>
      </c>
      <c r="AE20">
        <v>0</v>
      </c>
      <c r="AF20">
        <v>10017863</v>
      </c>
      <c r="AG20">
        <v>-255</v>
      </c>
      <c r="AH20">
        <v>-46145</v>
      </c>
      <c r="AI20">
        <v>880719</v>
      </c>
      <c r="AJ20">
        <v>7071</v>
      </c>
      <c r="AK20">
        <v>26244</v>
      </c>
      <c r="AL20">
        <v>8759785</v>
      </c>
      <c r="AM20">
        <v>-18022</v>
      </c>
      <c r="AN20">
        <v>1256182</v>
      </c>
      <c r="AO20">
        <v>0</v>
      </c>
      <c r="AP20">
        <v>317022</v>
      </c>
      <c r="AQ20">
        <v>0</v>
      </c>
      <c r="AR20">
        <v>0</v>
      </c>
      <c r="AS20">
        <v>380881</v>
      </c>
      <c r="AT20">
        <v>435950</v>
      </c>
      <c r="AU20">
        <v>60521792</v>
      </c>
      <c r="AV20">
        <v>16328928</v>
      </c>
      <c r="AW20">
        <v>-112012</v>
      </c>
      <c r="AX20">
        <v>-15802</v>
      </c>
      <c r="AY20">
        <v>-105443</v>
      </c>
      <c r="AZ20">
        <v>43351</v>
      </c>
      <c r="BA20">
        <v>37789</v>
      </c>
      <c r="BB20">
        <v>197640</v>
      </c>
      <c r="BC20">
        <v>-54622</v>
      </c>
      <c r="BD20">
        <v>0</v>
      </c>
      <c r="BE20">
        <v>0</v>
      </c>
      <c r="BF20">
        <v>3062404</v>
      </c>
      <c r="BG20">
        <v>0</v>
      </c>
      <c r="BH20">
        <v>2011777</v>
      </c>
      <c r="BI20">
        <v>253645</v>
      </c>
      <c r="BJ20">
        <v>0</v>
      </c>
      <c r="BK20">
        <v>0</v>
      </c>
      <c r="BL20">
        <v>5979903</v>
      </c>
      <c r="BM20">
        <v>2407378</v>
      </c>
      <c r="BN20">
        <v>917962</v>
      </c>
      <c r="BO20">
        <v>9245040</v>
      </c>
      <c r="BP20">
        <v>26441537</v>
      </c>
      <c r="BQ20">
        <v>22562</v>
      </c>
      <c r="BR20">
        <v>718369</v>
      </c>
      <c r="BS20">
        <v>0</v>
      </c>
      <c r="BT20">
        <v>4153048</v>
      </c>
      <c r="BU20">
        <v>-350</v>
      </c>
      <c r="BV20">
        <v>-32489</v>
      </c>
      <c r="BW20">
        <v>346823</v>
      </c>
      <c r="BX20">
        <v>0</v>
      </c>
      <c r="BY20">
        <v>10465340</v>
      </c>
      <c r="BZ20">
        <v>157905</v>
      </c>
      <c r="CA20">
        <v>0</v>
      </c>
      <c r="CB20">
        <v>-85801</v>
      </c>
      <c r="CC20">
        <v>0</v>
      </c>
      <c r="CD20">
        <v>0</v>
      </c>
    </row>
    <row r="21" spans="1:82" x14ac:dyDescent="0.3">
      <c r="A21" s="155">
        <v>52</v>
      </c>
      <c r="B21" s="551" t="s">
        <v>230</v>
      </c>
      <c r="D21">
        <v>0</v>
      </c>
      <c r="E21">
        <v>0</v>
      </c>
      <c r="F21">
        <v>0</v>
      </c>
      <c r="G21">
        <v>0</v>
      </c>
      <c r="H21">
        <v>0</v>
      </c>
      <c r="I21">
        <v>0</v>
      </c>
      <c r="J21">
        <v>0</v>
      </c>
      <c r="K21">
        <v>0</v>
      </c>
      <c r="L21">
        <v>204685</v>
      </c>
      <c r="M21">
        <v>0</v>
      </c>
      <c r="N21">
        <v>0</v>
      </c>
      <c r="O21">
        <v>0</v>
      </c>
      <c r="P21">
        <v>0</v>
      </c>
      <c r="Q21">
        <v>321327</v>
      </c>
      <c r="R21">
        <v>0</v>
      </c>
      <c r="S21">
        <v>14683</v>
      </c>
      <c r="T21">
        <v>0</v>
      </c>
      <c r="U21">
        <v>0</v>
      </c>
      <c r="V21">
        <v>0</v>
      </c>
      <c r="W21">
        <v>0</v>
      </c>
      <c r="X21">
        <v>0</v>
      </c>
      <c r="Y21">
        <v>3266</v>
      </c>
      <c r="Z21">
        <v>0</v>
      </c>
      <c r="AA21">
        <v>0</v>
      </c>
      <c r="AB21">
        <v>0</v>
      </c>
      <c r="AC21">
        <v>0</v>
      </c>
      <c r="AD21">
        <v>0</v>
      </c>
      <c r="AE21">
        <v>0</v>
      </c>
      <c r="AF21">
        <v>2576222</v>
      </c>
      <c r="AG21">
        <v>0</v>
      </c>
      <c r="AH21">
        <v>0</v>
      </c>
      <c r="AI21">
        <v>0</v>
      </c>
      <c r="AJ21">
        <v>0</v>
      </c>
      <c r="AK21">
        <v>0</v>
      </c>
      <c r="AL21">
        <v>0</v>
      </c>
      <c r="AM21">
        <v>0</v>
      </c>
      <c r="AN21">
        <v>0</v>
      </c>
      <c r="AO21">
        <v>0</v>
      </c>
      <c r="AP21">
        <v>287738</v>
      </c>
      <c r="AQ21">
        <v>0</v>
      </c>
      <c r="AR21">
        <v>0</v>
      </c>
      <c r="AS21">
        <v>0</v>
      </c>
      <c r="AT21">
        <v>0</v>
      </c>
      <c r="AU21">
        <v>0</v>
      </c>
      <c r="AV21">
        <v>12301489</v>
      </c>
      <c r="AW21">
        <v>0</v>
      </c>
      <c r="AX21">
        <v>0</v>
      </c>
      <c r="AY21">
        <v>0</v>
      </c>
      <c r="AZ21">
        <v>0</v>
      </c>
      <c r="BA21">
        <v>4881</v>
      </c>
      <c r="BB21">
        <v>0</v>
      </c>
      <c r="BC21">
        <v>0</v>
      </c>
      <c r="BD21">
        <v>0</v>
      </c>
      <c r="BE21">
        <v>0</v>
      </c>
      <c r="BF21">
        <v>0</v>
      </c>
      <c r="BG21">
        <v>0</v>
      </c>
      <c r="BH21">
        <v>0</v>
      </c>
      <c r="BI21">
        <v>0</v>
      </c>
      <c r="BJ21">
        <v>0</v>
      </c>
      <c r="BK21">
        <v>0</v>
      </c>
      <c r="BL21">
        <v>0</v>
      </c>
      <c r="BM21">
        <v>0</v>
      </c>
      <c r="BN21">
        <v>87219</v>
      </c>
      <c r="BO21">
        <v>0</v>
      </c>
      <c r="BP21">
        <v>3375794</v>
      </c>
      <c r="BQ21">
        <v>0</v>
      </c>
      <c r="BR21">
        <v>137215</v>
      </c>
      <c r="BS21">
        <v>0</v>
      </c>
      <c r="BT21">
        <v>0</v>
      </c>
      <c r="BU21">
        <v>13024</v>
      </c>
      <c r="BV21">
        <v>0</v>
      </c>
      <c r="BW21">
        <v>0</v>
      </c>
      <c r="BX21">
        <v>0</v>
      </c>
      <c r="BY21">
        <v>0</v>
      </c>
      <c r="BZ21">
        <v>33656</v>
      </c>
      <c r="CA21">
        <v>0</v>
      </c>
      <c r="CB21">
        <v>0</v>
      </c>
      <c r="CC21">
        <v>0</v>
      </c>
      <c r="CD21">
        <v>1359961</v>
      </c>
    </row>
    <row r="22" spans="1:82" x14ac:dyDescent="0.3">
      <c r="A22" s="155">
        <v>53</v>
      </c>
      <c r="B22" s="551" t="s">
        <v>93</v>
      </c>
      <c r="D22">
        <v>0</v>
      </c>
      <c r="E22">
        <v>0</v>
      </c>
      <c r="F22">
        <v>0</v>
      </c>
      <c r="G22">
        <v>0</v>
      </c>
      <c r="H22">
        <v>0</v>
      </c>
      <c r="I22">
        <v>0</v>
      </c>
      <c r="J22">
        <v>0</v>
      </c>
      <c r="K22">
        <v>0</v>
      </c>
      <c r="L22">
        <v>178308</v>
      </c>
      <c r="M22">
        <v>0</v>
      </c>
      <c r="N22">
        <v>0</v>
      </c>
      <c r="O22">
        <v>0</v>
      </c>
      <c r="P22">
        <v>0</v>
      </c>
      <c r="Q22">
        <v>-3474090</v>
      </c>
      <c r="R22">
        <v>0</v>
      </c>
      <c r="S22">
        <v>48728</v>
      </c>
      <c r="T22">
        <v>0</v>
      </c>
      <c r="U22">
        <v>0</v>
      </c>
      <c r="V22">
        <v>0</v>
      </c>
      <c r="W22">
        <v>0</v>
      </c>
      <c r="X22">
        <v>0</v>
      </c>
      <c r="Y22">
        <v>-48357</v>
      </c>
      <c r="Z22">
        <v>0</v>
      </c>
      <c r="AA22">
        <v>0</v>
      </c>
      <c r="AB22">
        <v>0</v>
      </c>
      <c r="AC22">
        <v>0</v>
      </c>
      <c r="AD22">
        <v>0</v>
      </c>
      <c r="AE22">
        <v>0</v>
      </c>
      <c r="AF22">
        <v>5990084</v>
      </c>
      <c r="AG22">
        <v>0</v>
      </c>
      <c r="AH22">
        <v>0</v>
      </c>
      <c r="AI22">
        <v>0</v>
      </c>
      <c r="AJ22">
        <v>0</v>
      </c>
      <c r="AK22">
        <v>0</v>
      </c>
      <c r="AL22">
        <v>0</v>
      </c>
      <c r="AM22">
        <v>0</v>
      </c>
      <c r="AN22">
        <v>0</v>
      </c>
      <c r="AO22">
        <v>0</v>
      </c>
      <c r="AP22">
        <v>304671</v>
      </c>
      <c r="AQ22">
        <v>0</v>
      </c>
      <c r="AR22">
        <v>0</v>
      </c>
      <c r="AS22">
        <v>0</v>
      </c>
      <c r="AT22">
        <v>0</v>
      </c>
      <c r="AU22">
        <v>0</v>
      </c>
      <c r="AV22">
        <v>1811779</v>
      </c>
      <c r="AW22">
        <v>0</v>
      </c>
      <c r="AX22">
        <v>0</v>
      </c>
      <c r="AY22">
        <v>0</v>
      </c>
      <c r="AZ22">
        <v>0</v>
      </c>
      <c r="BA22">
        <v>-11009</v>
      </c>
      <c r="BB22">
        <v>0</v>
      </c>
      <c r="BC22">
        <v>0</v>
      </c>
      <c r="BD22">
        <v>0</v>
      </c>
      <c r="BE22">
        <v>0</v>
      </c>
      <c r="BF22">
        <v>0</v>
      </c>
      <c r="BG22">
        <v>0</v>
      </c>
      <c r="BH22">
        <v>0</v>
      </c>
      <c r="BI22">
        <v>0</v>
      </c>
      <c r="BJ22">
        <v>0</v>
      </c>
      <c r="BK22">
        <v>0</v>
      </c>
      <c r="BL22">
        <v>0</v>
      </c>
      <c r="BM22">
        <v>0</v>
      </c>
      <c r="BN22">
        <v>-98966</v>
      </c>
      <c r="BO22">
        <v>0</v>
      </c>
      <c r="BP22">
        <v>-1284261</v>
      </c>
      <c r="BQ22">
        <v>0</v>
      </c>
      <c r="BR22">
        <v>1293137</v>
      </c>
      <c r="BS22">
        <v>0</v>
      </c>
      <c r="BT22">
        <v>0</v>
      </c>
      <c r="BU22">
        <v>-29519</v>
      </c>
      <c r="BV22">
        <v>0</v>
      </c>
      <c r="BW22">
        <v>0</v>
      </c>
      <c r="BX22">
        <v>0</v>
      </c>
      <c r="BY22">
        <v>0</v>
      </c>
      <c r="BZ22">
        <v>-24660</v>
      </c>
      <c r="CA22">
        <v>0</v>
      </c>
      <c r="CB22">
        <v>0</v>
      </c>
      <c r="CC22">
        <v>0</v>
      </c>
      <c r="CD22">
        <v>1803423</v>
      </c>
    </row>
    <row r="23" spans="1:82" x14ac:dyDescent="0.3">
      <c r="A23" s="155">
        <v>55</v>
      </c>
      <c r="B23" s="551" t="s">
        <v>240</v>
      </c>
      <c r="D23">
        <v>0</v>
      </c>
      <c r="E23">
        <v>0</v>
      </c>
      <c r="F23">
        <v>0</v>
      </c>
      <c r="G23">
        <v>0</v>
      </c>
      <c r="H23">
        <v>0</v>
      </c>
      <c r="I23">
        <v>0</v>
      </c>
      <c r="J23">
        <v>0</v>
      </c>
      <c r="K23">
        <v>0</v>
      </c>
      <c r="L23">
        <v>694680</v>
      </c>
      <c r="M23">
        <v>0</v>
      </c>
      <c r="N23">
        <v>0</v>
      </c>
      <c r="O23">
        <v>0</v>
      </c>
      <c r="P23">
        <v>0</v>
      </c>
      <c r="Q23">
        <v>4932876</v>
      </c>
      <c r="R23">
        <v>0</v>
      </c>
      <c r="S23">
        <v>-1523</v>
      </c>
      <c r="T23">
        <v>0</v>
      </c>
      <c r="U23">
        <v>0</v>
      </c>
      <c r="V23">
        <v>0</v>
      </c>
      <c r="W23">
        <v>0</v>
      </c>
      <c r="X23">
        <v>0</v>
      </c>
      <c r="Y23">
        <v>114128</v>
      </c>
      <c r="Z23">
        <v>0</v>
      </c>
      <c r="AA23">
        <v>0</v>
      </c>
      <c r="AB23">
        <v>0</v>
      </c>
      <c r="AC23">
        <v>0</v>
      </c>
      <c r="AD23">
        <v>0</v>
      </c>
      <c r="AE23">
        <v>0</v>
      </c>
      <c r="AF23">
        <v>9968535</v>
      </c>
      <c r="AG23">
        <v>0</v>
      </c>
      <c r="AH23">
        <v>0</v>
      </c>
      <c r="AI23">
        <v>0</v>
      </c>
      <c r="AJ23">
        <v>0</v>
      </c>
      <c r="AK23">
        <v>0</v>
      </c>
      <c r="AL23">
        <v>0</v>
      </c>
      <c r="AM23">
        <v>0</v>
      </c>
      <c r="AN23">
        <v>0</v>
      </c>
      <c r="AO23">
        <v>0</v>
      </c>
      <c r="AP23">
        <v>428697</v>
      </c>
      <c r="AQ23">
        <v>0</v>
      </c>
      <c r="AR23">
        <v>0</v>
      </c>
      <c r="AS23">
        <v>0</v>
      </c>
      <c r="AT23">
        <v>0</v>
      </c>
      <c r="AU23">
        <v>0</v>
      </c>
      <c r="AV23">
        <v>20711844</v>
      </c>
      <c r="AW23">
        <v>0</v>
      </c>
      <c r="AX23">
        <v>0</v>
      </c>
      <c r="AY23">
        <v>0</v>
      </c>
      <c r="AZ23">
        <v>0</v>
      </c>
      <c r="BA23">
        <v>61327</v>
      </c>
      <c r="BB23">
        <v>0</v>
      </c>
      <c r="BC23">
        <v>0</v>
      </c>
      <c r="BD23">
        <v>0</v>
      </c>
      <c r="BE23">
        <v>0</v>
      </c>
      <c r="BF23">
        <v>0</v>
      </c>
      <c r="BG23">
        <v>0</v>
      </c>
      <c r="BH23">
        <v>0</v>
      </c>
      <c r="BI23">
        <v>0</v>
      </c>
      <c r="BJ23">
        <v>0</v>
      </c>
      <c r="BK23">
        <v>0</v>
      </c>
      <c r="BL23">
        <v>0</v>
      </c>
      <c r="BM23">
        <v>0</v>
      </c>
      <c r="BN23">
        <v>111660</v>
      </c>
      <c r="BO23">
        <v>0</v>
      </c>
      <c r="BP23">
        <v>8843937</v>
      </c>
      <c r="BQ23">
        <v>0</v>
      </c>
      <c r="BR23">
        <v>2516069</v>
      </c>
      <c r="BS23">
        <v>0</v>
      </c>
      <c r="BT23">
        <v>0</v>
      </c>
      <c r="BU23">
        <v>-1967</v>
      </c>
      <c r="BV23">
        <v>0</v>
      </c>
      <c r="BW23">
        <v>0</v>
      </c>
      <c r="BX23">
        <v>0</v>
      </c>
      <c r="BY23">
        <v>0</v>
      </c>
      <c r="BZ23">
        <v>45040</v>
      </c>
      <c r="CA23">
        <v>0</v>
      </c>
      <c r="CB23">
        <v>0</v>
      </c>
      <c r="CC23">
        <v>0</v>
      </c>
      <c r="CD23">
        <v>1938529</v>
      </c>
    </row>
    <row r="24" spans="1:82" x14ac:dyDescent="0.3">
      <c r="A24" s="155">
        <v>61</v>
      </c>
      <c r="B24" t="s">
        <v>254</v>
      </c>
      <c r="D24">
        <v>95.47</v>
      </c>
      <c r="E24">
        <v>92.57</v>
      </c>
      <c r="F24">
        <v>99.76</v>
      </c>
      <c r="G24">
        <v>99.39</v>
      </c>
      <c r="H24">
        <v>98.6</v>
      </c>
      <c r="I24">
        <v>100</v>
      </c>
      <c r="J24">
        <v>98.49</v>
      </c>
      <c r="K24">
        <v>97.44</v>
      </c>
      <c r="L24">
        <v>99.03</v>
      </c>
      <c r="M24">
        <v>99.47</v>
      </c>
      <c r="N24">
        <v>99.99</v>
      </c>
      <c r="O24">
        <v>99.76</v>
      </c>
      <c r="P24">
        <v>81.66</v>
      </c>
      <c r="Q24">
        <v>99.47</v>
      </c>
      <c r="R24">
        <v>99.72</v>
      </c>
      <c r="S24">
        <v>98.1</v>
      </c>
      <c r="T24">
        <v>99.93</v>
      </c>
      <c r="U24">
        <v>99.43</v>
      </c>
      <c r="V24">
        <v>97.42</v>
      </c>
      <c r="W24">
        <v>98.89</v>
      </c>
      <c r="X24">
        <v>98.99</v>
      </c>
      <c r="Y24">
        <v>96.02</v>
      </c>
      <c r="Z24">
        <v>99.82</v>
      </c>
      <c r="AA24">
        <v>0</v>
      </c>
      <c r="AB24">
        <v>94.86</v>
      </c>
      <c r="AC24">
        <v>99.72</v>
      </c>
      <c r="AD24">
        <v>97.51</v>
      </c>
      <c r="AE24">
        <v>92.04</v>
      </c>
      <c r="AF24">
        <v>99.21</v>
      </c>
      <c r="AG24">
        <v>98.74</v>
      </c>
      <c r="AH24">
        <v>94.11</v>
      </c>
      <c r="AI24">
        <v>99.29</v>
      </c>
      <c r="AJ24">
        <v>99.42</v>
      </c>
      <c r="AK24">
        <v>99.1</v>
      </c>
      <c r="AL24">
        <v>98.79</v>
      </c>
      <c r="AM24">
        <v>98.21</v>
      </c>
      <c r="AN24">
        <v>98.48</v>
      </c>
      <c r="AO24">
        <v>0</v>
      </c>
      <c r="AP24">
        <v>98.81</v>
      </c>
      <c r="AQ24">
        <v>98.88</v>
      </c>
      <c r="AR24">
        <v>96.59</v>
      </c>
      <c r="AS24">
        <v>37.03</v>
      </c>
      <c r="AT24">
        <v>93.51</v>
      </c>
      <c r="AU24">
        <v>99.39</v>
      </c>
      <c r="AV24">
        <v>99.76</v>
      </c>
      <c r="AW24">
        <v>97.19</v>
      </c>
      <c r="AX24">
        <v>98.87</v>
      </c>
      <c r="AY24">
        <v>96.01</v>
      </c>
      <c r="AZ24">
        <v>99.66</v>
      </c>
      <c r="BA24">
        <v>90.81</v>
      </c>
      <c r="BB24">
        <v>95.35</v>
      </c>
      <c r="BC24">
        <v>98.19</v>
      </c>
      <c r="BD24">
        <v>97.44</v>
      </c>
      <c r="BE24">
        <v>99.19</v>
      </c>
      <c r="BF24">
        <v>99.67</v>
      </c>
      <c r="BG24">
        <v>87.2</v>
      </c>
      <c r="BH24">
        <v>99.18</v>
      </c>
      <c r="BI24">
        <v>98.74</v>
      </c>
      <c r="BJ24">
        <v>98.71</v>
      </c>
      <c r="BK24">
        <v>0</v>
      </c>
      <c r="BL24">
        <v>97.57</v>
      </c>
      <c r="BM24">
        <v>99.09</v>
      </c>
      <c r="BN24">
        <v>95.46</v>
      </c>
      <c r="BO24">
        <v>99.15</v>
      </c>
      <c r="BP24">
        <v>99.29</v>
      </c>
      <c r="BQ24">
        <v>96.14</v>
      </c>
      <c r="BR24">
        <v>99.7</v>
      </c>
      <c r="BS24">
        <v>99.59</v>
      </c>
      <c r="BT24">
        <v>99.23</v>
      </c>
      <c r="BU24">
        <v>94</v>
      </c>
      <c r="BV24">
        <v>88.14</v>
      </c>
      <c r="BW24">
        <v>99.5</v>
      </c>
      <c r="BX24">
        <v>99.3</v>
      </c>
      <c r="BY24">
        <v>99.8</v>
      </c>
      <c r="BZ24">
        <v>99.59</v>
      </c>
      <c r="CA24">
        <v>99.7</v>
      </c>
      <c r="CB24">
        <v>97.96</v>
      </c>
      <c r="CC24">
        <v>96.52</v>
      </c>
      <c r="CD24">
        <v>99.68</v>
      </c>
    </row>
    <row r="25" spans="1:82" x14ac:dyDescent="0.3">
      <c r="A25" s="155">
        <v>80</v>
      </c>
      <c r="B25" t="s">
        <v>209</v>
      </c>
      <c r="D25">
        <v>214661</v>
      </c>
      <c r="E25">
        <v>186417</v>
      </c>
      <c r="F25">
        <v>0</v>
      </c>
      <c r="G25">
        <v>981155</v>
      </c>
      <c r="H25">
        <v>661548</v>
      </c>
      <c r="I25">
        <v>131096</v>
      </c>
      <c r="J25">
        <v>0</v>
      </c>
      <c r="K25">
        <v>193250</v>
      </c>
      <c r="L25">
        <v>3408784</v>
      </c>
      <c r="M25">
        <v>0</v>
      </c>
      <c r="N25">
        <v>0</v>
      </c>
      <c r="O25">
        <v>0</v>
      </c>
      <c r="P25">
        <v>42498</v>
      </c>
      <c r="Q25">
        <v>6886597</v>
      </c>
      <c r="R25">
        <v>0</v>
      </c>
      <c r="S25">
        <v>373346</v>
      </c>
      <c r="T25">
        <v>1273712</v>
      </c>
      <c r="U25">
        <v>1225811</v>
      </c>
      <c r="V25">
        <v>7611151</v>
      </c>
      <c r="W25">
        <v>0</v>
      </c>
      <c r="X25">
        <v>257128</v>
      </c>
      <c r="Y25">
        <v>376308</v>
      </c>
      <c r="Z25">
        <v>37997639</v>
      </c>
      <c r="AA25">
        <v>32622</v>
      </c>
      <c r="AB25">
        <v>680649</v>
      </c>
      <c r="AC25">
        <v>0</v>
      </c>
      <c r="AD25">
        <v>0</v>
      </c>
      <c r="AE25">
        <v>0</v>
      </c>
      <c r="AF25">
        <v>24666937</v>
      </c>
      <c r="AG25">
        <v>0</v>
      </c>
      <c r="AH25">
        <v>82814</v>
      </c>
      <c r="AI25">
        <v>3244637</v>
      </c>
      <c r="AJ25">
        <v>95176</v>
      </c>
      <c r="AK25">
        <v>62388</v>
      </c>
      <c r="AL25">
        <v>13789978</v>
      </c>
      <c r="AM25">
        <v>316296</v>
      </c>
      <c r="AN25">
        <v>8376315</v>
      </c>
      <c r="AO25">
        <v>0</v>
      </c>
      <c r="AP25">
        <v>2434355</v>
      </c>
      <c r="AQ25">
        <v>0</v>
      </c>
      <c r="AR25">
        <v>0</v>
      </c>
      <c r="AS25">
        <v>1402391</v>
      </c>
      <c r="AT25">
        <v>116140</v>
      </c>
      <c r="AU25">
        <v>42865587</v>
      </c>
      <c r="AV25">
        <v>38572418</v>
      </c>
      <c r="AW25">
        <v>622544</v>
      </c>
      <c r="AX25">
        <v>61531</v>
      </c>
      <c r="AY25">
        <v>44615</v>
      </c>
      <c r="AZ25">
        <v>0</v>
      </c>
      <c r="BA25">
        <v>333128</v>
      </c>
      <c r="BB25">
        <v>4120971</v>
      </c>
      <c r="BC25">
        <v>381791</v>
      </c>
      <c r="BD25">
        <v>0</v>
      </c>
      <c r="BE25">
        <v>163634</v>
      </c>
      <c r="BF25">
        <v>9773565</v>
      </c>
      <c r="BG25">
        <v>0</v>
      </c>
      <c r="BH25">
        <v>9787477</v>
      </c>
      <c r="BI25">
        <v>754336</v>
      </c>
      <c r="BJ25">
        <v>0</v>
      </c>
      <c r="BK25">
        <v>0</v>
      </c>
      <c r="BL25">
        <v>35697421</v>
      </c>
      <c r="BM25">
        <v>6040576</v>
      </c>
      <c r="BN25">
        <v>680173</v>
      </c>
      <c r="BO25">
        <v>32112022</v>
      </c>
      <c r="BP25">
        <v>40660168</v>
      </c>
      <c r="BQ25">
        <v>263599</v>
      </c>
      <c r="BR25">
        <v>2277423</v>
      </c>
      <c r="BS25">
        <v>0</v>
      </c>
      <c r="BT25">
        <v>11956197</v>
      </c>
      <c r="BU25">
        <v>280776</v>
      </c>
      <c r="BV25">
        <v>6571</v>
      </c>
      <c r="BW25">
        <v>1652411</v>
      </c>
      <c r="BX25">
        <v>0</v>
      </c>
      <c r="BY25">
        <v>48608266</v>
      </c>
      <c r="BZ25">
        <v>637338</v>
      </c>
      <c r="CA25">
        <v>0</v>
      </c>
      <c r="CB25">
        <v>229554</v>
      </c>
      <c r="CC25">
        <v>0</v>
      </c>
      <c r="CD25">
        <v>0</v>
      </c>
    </row>
    <row r="26" spans="1:82" x14ac:dyDescent="0.3">
      <c r="A26" s="155">
        <v>81</v>
      </c>
      <c r="B26" t="s">
        <v>210</v>
      </c>
      <c r="D26">
        <v>25874</v>
      </c>
      <c r="E26">
        <v>120995</v>
      </c>
      <c r="F26">
        <v>0</v>
      </c>
      <c r="G26">
        <v>78090</v>
      </c>
      <c r="H26">
        <v>36912</v>
      </c>
      <c r="I26">
        <v>6077</v>
      </c>
      <c r="J26">
        <v>0</v>
      </c>
      <c r="K26">
        <v>18734</v>
      </c>
      <c r="L26">
        <v>529028</v>
      </c>
      <c r="M26">
        <v>0</v>
      </c>
      <c r="N26">
        <v>0</v>
      </c>
      <c r="O26">
        <v>0</v>
      </c>
      <c r="P26">
        <v>5397</v>
      </c>
      <c r="Q26">
        <v>746698</v>
      </c>
      <c r="R26">
        <v>0</v>
      </c>
      <c r="S26">
        <v>18190</v>
      </c>
      <c r="T26">
        <v>145965</v>
      </c>
      <c r="U26">
        <v>34000</v>
      </c>
      <c r="V26">
        <v>510103</v>
      </c>
      <c r="W26">
        <v>0</v>
      </c>
      <c r="X26">
        <v>125248</v>
      </c>
      <c r="Y26">
        <v>103561</v>
      </c>
      <c r="Z26">
        <v>1378223</v>
      </c>
      <c r="AA26">
        <v>14672</v>
      </c>
      <c r="AB26">
        <v>21899</v>
      </c>
      <c r="AC26">
        <v>0</v>
      </c>
      <c r="AD26">
        <v>0</v>
      </c>
      <c r="AE26">
        <v>0</v>
      </c>
      <c r="AF26">
        <v>4672278</v>
      </c>
      <c r="AG26">
        <v>0</v>
      </c>
      <c r="AH26">
        <v>12043</v>
      </c>
      <c r="AI26">
        <v>329874</v>
      </c>
      <c r="AJ26">
        <v>9457</v>
      </c>
      <c r="AK26">
        <v>4086</v>
      </c>
      <c r="AL26">
        <v>3206220</v>
      </c>
      <c r="AM26">
        <v>0</v>
      </c>
      <c r="AN26">
        <v>1753917</v>
      </c>
      <c r="AO26">
        <v>0</v>
      </c>
      <c r="AP26">
        <v>356481</v>
      </c>
      <c r="AQ26">
        <v>0</v>
      </c>
      <c r="AR26">
        <v>0</v>
      </c>
      <c r="AS26">
        <v>192870</v>
      </c>
      <c r="AT26">
        <v>52416</v>
      </c>
      <c r="AU26">
        <v>17478729</v>
      </c>
      <c r="AV26">
        <v>5042719</v>
      </c>
      <c r="AW26">
        <v>274600</v>
      </c>
      <c r="AX26">
        <v>35789</v>
      </c>
      <c r="AY26">
        <v>31920</v>
      </c>
      <c r="AZ26">
        <v>41451</v>
      </c>
      <c r="BA26">
        <v>9854</v>
      </c>
      <c r="BB26">
        <v>205198</v>
      </c>
      <c r="BC26">
        <v>50715</v>
      </c>
      <c r="BD26">
        <v>0</v>
      </c>
      <c r="BE26">
        <v>12789</v>
      </c>
      <c r="BF26">
        <v>1523176</v>
      </c>
      <c r="BG26">
        <v>0</v>
      </c>
      <c r="BH26">
        <v>743372</v>
      </c>
      <c r="BI26">
        <v>246525</v>
      </c>
      <c r="BJ26">
        <v>0</v>
      </c>
      <c r="BK26">
        <v>0</v>
      </c>
      <c r="BL26">
        <v>1404831</v>
      </c>
      <c r="BM26">
        <v>3188694</v>
      </c>
      <c r="BN26">
        <v>422454</v>
      </c>
      <c r="BO26">
        <v>3562308</v>
      </c>
      <c r="BP26">
        <v>6098423</v>
      </c>
      <c r="BQ26">
        <v>14930</v>
      </c>
      <c r="BR26">
        <v>274384</v>
      </c>
      <c r="BS26">
        <v>0</v>
      </c>
      <c r="BT26">
        <v>1728970</v>
      </c>
      <c r="BU26">
        <v>12214</v>
      </c>
      <c r="BV26">
        <v>19197</v>
      </c>
      <c r="BW26">
        <v>286283</v>
      </c>
      <c r="BX26">
        <v>0</v>
      </c>
      <c r="BY26">
        <v>2924868</v>
      </c>
      <c r="BZ26">
        <v>44030</v>
      </c>
      <c r="CA26">
        <v>0</v>
      </c>
      <c r="CB26">
        <v>48507</v>
      </c>
      <c r="CC26">
        <v>0</v>
      </c>
      <c r="CD26">
        <v>0</v>
      </c>
    </row>
    <row r="27" spans="1:82" x14ac:dyDescent="0.3">
      <c r="A27" s="155">
        <v>82</v>
      </c>
      <c r="B27" t="s">
        <v>307</v>
      </c>
      <c r="D27">
        <v>0</v>
      </c>
      <c r="E27">
        <v>2396740</v>
      </c>
      <c r="F27">
        <v>0</v>
      </c>
      <c r="G27">
        <v>275944</v>
      </c>
      <c r="H27">
        <v>1227000</v>
      </c>
      <c r="I27">
        <v>0</v>
      </c>
      <c r="J27">
        <v>0</v>
      </c>
      <c r="K27">
        <v>1760000</v>
      </c>
      <c r="L27">
        <v>10069400</v>
      </c>
      <c r="M27">
        <v>0</v>
      </c>
      <c r="N27">
        <v>0</v>
      </c>
      <c r="O27">
        <v>0</v>
      </c>
      <c r="P27">
        <v>0</v>
      </c>
      <c r="Q27">
        <v>290438</v>
      </c>
      <c r="R27">
        <v>0</v>
      </c>
      <c r="S27">
        <v>239062</v>
      </c>
      <c r="T27">
        <v>505958</v>
      </c>
      <c r="U27">
        <v>0</v>
      </c>
      <c r="V27">
        <v>6493920</v>
      </c>
      <c r="W27">
        <v>0</v>
      </c>
      <c r="X27">
        <v>396284</v>
      </c>
      <c r="Y27">
        <v>731179</v>
      </c>
      <c r="Z27">
        <v>36036587</v>
      </c>
      <c r="AA27">
        <v>0</v>
      </c>
      <c r="AB27">
        <v>0</v>
      </c>
      <c r="AC27">
        <v>0</v>
      </c>
      <c r="AD27">
        <v>0</v>
      </c>
      <c r="AE27">
        <v>0</v>
      </c>
      <c r="AF27">
        <v>55267200</v>
      </c>
      <c r="AG27">
        <v>0</v>
      </c>
      <c r="AH27">
        <v>0</v>
      </c>
      <c r="AI27">
        <v>3351795</v>
      </c>
      <c r="AJ27">
        <v>0</v>
      </c>
      <c r="AK27">
        <v>0</v>
      </c>
      <c r="AL27">
        <v>2503037</v>
      </c>
      <c r="AM27">
        <v>0</v>
      </c>
      <c r="AN27">
        <v>5105232</v>
      </c>
      <c r="AO27">
        <v>0</v>
      </c>
      <c r="AP27">
        <v>2598971</v>
      </c>
      <c r="AQ27">
        <v>0</v>
      </c>
      <c r="AR27">
        <v>0</v>
      </c>
      <c r="AS27">
        <v>2544173</v>
      </c>
      <c r="AT27">
        <v>0</v>
      </c>
      <c r="AU27">
        <v>353304539</v>
      </c>
      <c r="AV27">
        <v>109068373</v>
      </c>
      <c r="AW27">
        <v>1049671</v>
      </c>
      <c r="AX27">
        <v>370603</v>
      </c>
      <c r="AY27">
        <v>96996</v>
      </c>
      <c r="AZ27">
        <v>0</v>
      </c>
      <c r="BA27">
        <v>1039000</v>
      </c>
      <c r="BB27">
        <v>0</v>
      </c>
      <c r="BC27">
        <v>203000</v>
      </c>
      <c r="BD27">
        <v>0</v>
      </c>
      <c r="BE27">
        <v>0</v>
      </c>
      <c r="BF27">
        <v>13742991</v>
      </c>
      <c r="BG27">
        <v>0</v>
      </c>
      <c r="BH27">
        <v>12952763</v>
      </c>
      <c r="BI27">
        <v>1039529</v>
      </c>
      <c r="BJ27">
        <v>0</v>
      </c>
      <c r="BK27">
        <v>0</v>
      </c>
      <c r="BL27">
        <v>18350514</v>
      </c>
      <c r="BM27">
        <v>32498417</v>
      </c>
      <c r="BN27">
        <v>6315175</v>
      </c>
      <c r="BO27">
        <v>21637418</v>
      </c>
      <c r="BP27">
        <v>186281978</v>
      </c>
      <c r="BQ27">
        <v>0</v>
      </c>
      <c r="BR27">
        <v>886597</v>
      </c>
      <c r="BS27">
        <v>0</v>
      </c>
      <c r="BT27">
        <v>26150210</v>
      </c>
      <c r="BU27">
        <v>0</v>
      </c>
      <c r="BV27">
        <v>0</v>
      </c>
      <c r="BW27">
        <v>3047201</v>
      </c>
      <c r="BX27">
        <v>0</v>
      </c>
      <c r="BY27">
        <v>30804730</v>
      </c>
      <c r="BZ27">
        <v>414269</v>
      </c>
      <c r="CA27">
        <v>0</v>
      </c>
      <c r="CB27">
        <v>80500</v>
      </c>
      <c r="CC27">
        <v>0</v>
      </c>
      <c r="CD27">
        <v>0</v>
      </c>
    </row>
    <row r="28" spans="1:82" x14ac:dyDescent="0.3">
      <c r="A28" s="155">
        <v>83</v>
      </c>
      <c r="B28" t="s">
        <v>94</v>
      </c>
      <c r="D28">
        <v>10221833</v>
      </c>
      <c r="E28">
        <v>6310825</v>
      </c>
      <c r="F28">
        <v>0</v>
      </c>
      <c r="G28">
        <v>8886546</v>
      </c>
      <c r="H28">
        <v>3975309</v>
      </c>
      <c r="I28">
        <v>421539</v>
      </c>
      <c r="J28">
        <v>0</v>
      </c>
      <c r="K28">
        <v>2797619</v>
      </c>
      <c r="L28">
        <v>33206936</v>
      </c>
      <c r="M28">
        <v>0</v>
      </c>
      <c r="N28">
        <v>0</v>
      </c>
      <c r="O28">
        <v>0</v>
      </c>
      <c r="P28">
        <v>3594307</v>
      </c>
      <c r="Q28">
        <v>47448411</v>
      </c>
      <c r="R28">
        <v>0</v>
      </c>
      <c r="S28">
        <v>3696185</v>
      </c>
      <c r="T28">
        <v>4364416</v>
      </c>
      <c r="U28">
        <v>2027018</v>
      </c>
      <c r="V28">
        <v>24982720</v>
      </c>
      <c r="W28">
        <v>0</v>
      </c>
      <c r="X28">
        <v>4735048</v>
      </c>
      <c r="Y28">
        <v>9383638</v>
      </c>
      <c r="Z28">
        <v>128789605</v>
      </c>
      <c r="AA28">
        <v>1526820</v>
      </c>
      <c r="AB28">
        <v>4026331</v>
      </c>
      <c r="AC28">
        <v>0</v>
      </c>
      <c r="AD28">
        <v>0</v>
      </c>
      <c r="AE28">
        <v>0</v>
      </c>
      <c r="AF28">
        <v>224795997</v>
      </c>
      <c r="AG28">
        <v>-95</v>
      </c>
      <c r="AH28">
        <v>824149</v>
      </c>
      <c r="AI28">
        <v>4052286</v>
      </c>
      <c r="AJ28">
        <v>1414079</v>
      </c>
      <c r="AK28">
        <v>296351</v>
      </c>
      <c r="AL28">
        <v>64878667</v>
      </c>
      <c r="AM28">
        <v>4493917</v>
      </c>
      <c r="AN28">
        <v>54967129</v>
      </c>
      <c r="AO28">
        <v>0</v>
      </c>
      <c r="AP28">
        <v>12921813</v>
      </c>
      <c r="AQ28">
        <v>0</v>
      </c>
      <c r="AR28">
        <v>0</v>
      </c>
      <c r="AS28">
        <v>4532474</v>
      </c>
      <c r="AT28">
        <v>4715869</v>
      </c>
      <c r="AU28">
        <v>646804820</v>
      </c>
      <c r="AV28">
        <v>226731983</v>
      </c>
      <c r="AW28">
        <v>3888803</v>
      </c>
      <c r="AX28">
        <v>2037093</v>
      </c>
      <c r="AY28">
        <v>1637013</v>
      </c>
      <c r="AZ28">
        <v>3021009</v>
      </c>
      <c r="BA28">
        <v>1549263</v>
      </c>
      <c r="BB28">
        <v>5497406</v>
      </c>
      <c r="BC28">
        <v>3098006</v>
      </c>
      <c r="BD28">
        <v>0</v>
      </c>
      <c r="BE28">
        <v>426842</v>
      </c>
      <c r="BF28">
        <v>34234274</v>
      </c>
      <c r="BG28">
        <v>0</v>
      </c>
      <c r="BH28">
        <v>20595077</v>
      </c>
      <c r="BI28">
        <v>3546186</v>
      </c>
      <c r="BJ28">
        <v>0</v>
      </c>
      <c r="BK28">
        <v>0</v>
      </c>
      <c r="BL28">
        <v>107298158</v>
      </c>
      <c r="BM28">
        <v>81028734</v>
      </c>
      <c r="BN28">
        <v>5666993</v>
      </c>
      <c r="BO28">
        <v>139776396</v>
      </c>
      <c r="BP28">
        <v>226698789</v>
      </c>
      <c r="BQ28">
        <v>5784105</v>
      </c>
      <c r="BR28">
        <v>28010827</v>
      </c>
      <c r="BS28">
        <v>0</v>
      </c>
      <c r="BT28">
        <v>56934084</v>
      </c>
      <c r="BU28">
        <v>2606094</v>
      </c>
      <c r="BV28">
        <v>3225977</v>
      </c>
      <c r="BW28">
        <v>20768847</v>
      </c>
      <c r="BX28">
        <v>0</v>
      </c>
      <c r="BY28">
        <v>155055314</v>
      </c>
      <c r="BZ28">
        <v>1658140</v>
      </c>
      <c r="CA28">
        <v>0</v>
      </c>
      <c r="CB28">
        <v>1718029</v>
      </c>
      <c r="CC28">
        <v>0</v>
      </c>
      <c r="CD28">
        <v>0</v>
      </c>
    </row>
    <row r="29" spans="1:82" x14ac:dyDescent="0.3">
      <c r="A29" s="155">
        <v>84</v>
      </c>
      <c r="B29" t="s">
        <v>218</v>
      </c>
      <c r="D29">
        <v>317137</v>
      </c>
      <c r="E29">
        <v>1260048</v>
      </c>
      <c r="F29">
        <v>0</v>
      </c>
      <c r="G29">
        <v>696522</v>
      </c>
      <c r="H29">
        <v>426853</v>
      </c>
      <c r="I29">
        <v>158049</v>
      </c>
      <c r="J29">
        <v>0</v>
      </c>
      <c r="K29">
        <v>213983</v>
      </c>
      <c r="L29">
        <v>4647731</v>
      </c>
      <c r="M29">
        <v>0</v>
      </c>
      <c r="N29">
        <v>0</v>
      </c>
      <c r="O29">
        <v>0</v>
      </c>
      <c r="P29">
        <v>599983</v>
      </c>
      <c r="Q29">
        <v>5870345</v>
      </c>
      <c r="R29">
        <v>0</v>
      </c>
      <c r="S29">
        <v>297451</v>
      </c>
      <c r="T29">
        <v>1636245</v>
      </c>
      <c r="U29">
        <v>357767</v>
      </c>
      <c r="V29">
        <v>4783950</v>
      </c>
      <c r="W29">
        <v>0</v>
      </c>
      <c r="X29">
        <v>618064</v>
      </c>
      <c r="Y29">
        <v>1344302</v>
      </c>
      <c r="Z29">
        <v>26612395</v>
      </c>
      <c r="AA29">
        <v>69514</v>
      </c>
      <c r="AB29">
        <v>324600</v>
      </c>
      <c r="AC29">
        <v>0</v>
      </c>
      <c r="AD29">
        <v>0</v>
      </c>
      <c r="AE29">
        <v>0</v>
      </c>
      <c r="AF29">
        <v>44666775</v>
      </c>
      <c r="AG29">
        <v>0</v>
      </c>
      <c r="AH29">
        <v>121533</v>
      </c>
      <c r="AI29">
        <v>4057795</v>
      </c>
      <c r="AJ29">
        <v>23383</v>
      </c>
      <c r="AK29">
        <v>101243</v>
      </c>
      <c r="AL29">
        <v>18728457</v>
      </c>
      <c r="AM29">
        <v>103288</v>
      </c>
      <c r="AN29">
        <v>8320580</v>
      </c>
      <c r="AO29">
        <v>0</v>
      </c>
      <c r="AP29">
        <v>2511633</v>
      </c>
      <c r="AQ29">
        <v>0</v>
      </c>
      <c r="AR29">
        <v>0</v>
      </c>
      <c r="AS29">
        <v>1271114</v>
      </c>
      <c r="AT29">
        <v>472022</v>
      </c>
      <c r="AU29">
        <v>130885636</v>
      </c>
      <c r="AV29">
        <v>49019215</v>
      </c>
      <c r="AW29">
        <v>1049148</v>
      </c>
      <c r="AX29">
        <v>337741</v>
      </c>
      <c r="AY29">
        <v>409635</v>
      </c>
      <c r="AZ29">
        <v>278399</v>
      </c>
      <c r="BA29">
        <v>217996</v>
      </c>
      <c r="BB29">
        <v>2976112</v>
      </c>
      <c r="BC29">
        <v>117169</v>
      </c>
      <c r="BD29">
        <v>0</v>
      </c>
      <c r="BE29">
        <v>152847</v>
      </c>
      <c r="BF29">
        <v>10810922</v>
      </c>
      <c r="BG29">
        <v>0</v>
      </c>
      <c r="BH29">
        <v>6830015</v>
      </c>
      <c r="BI29">
        <v>1935774</v>
      </c>
      <c r="BJ29">
        <v>0</v>
      </c>
      <c r="BK29">
        <v>0</v>
      </c>
      <c r="BL29">
        <v>17632944</v>
      </c>
      <c r="BM29">
        <v>20681826</v>
      </c>
      <c r="BN29">
        <v>1927040</v>
      </c>
      <c r="BO29">
        <v>32611930</v>
      </c>
      <c r="BP29">
        <v>58154141</v>
      </c>
      <c r="BQ29">
        <v>208072</v>
      </c>
      <c r="BR29">
        <v>2480107</v>
      </c>
      <c r="BS29">
        <v>0</v>
      </c>
      <c r="BT29">
        <v>11045705</v>
      </c>
      <c r="BU29">
        <v>194795</v>
      </c>
      <c r="BV29">
        <v>20075</v>
      </c>
      <c r="BW29">
        <v>2417303</v>
      </c>
      <c r="BX29">
        <v>0</v>
      </c>
      <c r="BY29">
        <v>18510699</v>
      </c>
      <c r="BZ29">
        <v>230986</v>
      </c>
      <c r="CA29">
        <v>0</v>
      </c>
      <c r="CB29">
        <v>312927</v>
      </c>
      <c r="CC29">
        <v>0</v>
      </c>
      <c r="CD29">
        <v>0</v>
      </c>
    </row>
    <row r="30" spans="1:82" x14ac:dyDescent="0.3">
      <c r="A30" s="155">
        <v>85</v>
      </c>
      <c r="B30" t="s">
        <v>220</v>
      </c>
      <c r="D30">
        <v>384145</v>
      </c>
      <c r="E30">
        <v>1505013</v>
      </c>
      <c r="F30">
        <v>0</v>
      </c>
      <c r="G30">
        <v>962606</v>
      </c>
      <c r="H30">
        <v>411603</v>
      </c>
      <c r="I30">
        <v>181006</v>
      </c>
      <c r="J30">
        <v>0</v>
      </c>
      <c r="K30">
        <v>288703</v>
      </c>
      <c r="L30">
        <v>4193477</v>
      </c>
      <c r="M30">
        <v>0</v>
      </c>
      <c r="N30">
        <v>0</v>
      </c>
      <c r="O30">
        <v>0</v>
      </c>
      <c r="P30">
        <v>201557</v>
      </c>
      <c r="Q30">
        <v>5807098</v>
      </c>
      <c r="R30">
        <v>0</v>
      </c>
      <c r="S30">
        <v>380222</v>
      </c>
      <c r="T30">
        <v>1422515</v>
      </c>
      <c r="U30">
        <v>224505</v>
      </c>
      <c r="V30">
        <v>3493273</v>
      </c>
      <c r="W30">
        <v>0</v>
      </c>
      <c r="X30">
        <v>779689</v>
      </c>
      <c r="Y30">
        <v>1213010</v>
      </c>
      <c r="Z30">
        <v>15893171</v>
      </c>
      <c r="AA30">
        <v>154902</v>
      </c>
      <c r="AB30">
        <v>300651</v>
      </c>
      <c r="AC30">
        <v>0</v>
      </c>
      <c r="AD30">
        <v>0</v>
      </c>
      <c r="AE30">
        <v>0</v>
      </c>
      <c r="AF30">
        <v>41174339</v>
      </c>
      <c r="AG30">
        <v>255</v>
      </c>
      <c r="AH30">
        <v>218378</v>
      </c>
      <c r="AI30">
        <v>3333757</v>
      </c>
      <c r="AJ30">
        <v>85345</v>
      </c>
      <c r="AK30">
        <v>74490</v>
      </c>
      <c r="AL30">
        <v>15305266</v>
      </c>
      <c r="AM30">
        <v>303800</v>
      </c>
      <c r="AN30">
        <v>7597601</v>
      </c>
      <c r="AO30">
        <v>0</v>
      </c>
      <c r="AP30">
        <v>2811626</v>
      </c>
      <c r="AQ30">
        <v>0</v>
      </c>
      <c r="AR30">
        <v>0</v>
      </c>
      <c r="AS30">
        <v>954633</v>
      </c>
      <c r="AT30">
        <v>431157</v>
      </c>
      <c r="AU30">
        <v>101668140</v>
      </c>
      <c r="AV30">
        <v>43061855</v>
      </c>
      <c r="AW30">
        <v>1156588</v>
      </c>
      <c r="AX30">
        <v>522463</v>
      </c>
      <c r="AY30">
        <v>545262</v>
      </c>
      <c r="AZ30">
        <v>325425</v>
      </c>
      <c r="BA30">
        <v>354405</v>
      </c>
      <c r="BB30">
        <v>3435540</v>
      </c>
      <c r="BC30">
        <v>313384</v>
      </c>
      <c r="BD30">
        <v>0</v>
      </c>
      <c r="BE30">
        <v>144769</v>
      </c>
      <c r="BF30">
        <v>8920856</v>
      </c>
      <c r="BG30">
        <v>0</v>
      </c>
      <c r="BH30">
        <v>5980992</v>
      </c>
      <c r="BI30">
        <v>2035336</v>
      </c>
      <c r="BJ30">
        <v>0</v>
      </c>
      <c r="BK30">
        <v>0</v>
      </c>
      <c r="BL30">
        <v>14456261</v>
      </c>
      <c r="BM30">
        <v>19865814</v>
      </c>
      <c r="BN30">
        <v>1832713</v>
      </c>
      <c r="BO30">
        <v>26061508</v>
      </c>
      <c r="BP30">
        <v>47349800</v>
      </c>
      <c r="BQ30">
        <v>293422</v>
      </c>
      <c r="BR30">
        <v>2919562</v>
      </c>
      <c r="BS30">
        <v>0</v>
      </c>
      <c r="BT30">
        <v>8760363</v>
      </c>
      <c r="BU30">
        <v>327443</v>
      </c>
      <c r="BV30">
        <v>109492</v>
      </c>
      <c r="BW30">
        <v>2581409</v>
      </c>
      <c r="BX30">
        <v>0</v>
      </c>
      <c r="BY30">
        <v>17837311</v>
      </c>
      <c r="BZ30">
        <v>260350</v>
      </c>
      <c r="CA30">
        <v>0</v>
      </c>
      <c r="CB30">
        <v>344011</v>
      </c>
      <c r="CC30">
        <v>0</v>
      </c>
      <c r="CD30">
        <v>0</v>
      </c>
    </row>
    <row r="31" spans="1:82" x14ac:dyDescent="0.3">
      <c r="A31" s="155">
        <v>88</v>
      </c>
      <c r="B31" t="s">
        <v>217</v>
      </c>
      <c r="D31">
        <v>296425</v>
      </c>
      <c r="E31">
        <v>1260048</v>
      </c>
      <c r="F31">
        <v>0</v>
      </c>
      <c r="G31">
        <v>668090</v>
      </c>
      <c r="H31">
        <v>394211</v>
      </c>
      <c r="I31">
        <v>149920</v>
      </c>
      <c r="J31">
        <v>0</v>
      </c>
      <c r="K31">
        <v>135377</v>
      </c>
      <c r="L31">
        <v>4444959</v>
      </c>
      <c r="M31">
        <v>0</v>
      </c>
      <c r="N31">
        <v>0</v>
      </c>
      <c r="O31">
        <v>0</v>
      </c>
      <c r="P31">
        <v>73999</v>
      </c>
      <c r="Q31">
        <v>5664328</v>
      </c>
      <c r="R31">
        <v>0</v>
      </c>
      <c r="S31">
        <v>278691</v>
      </c>
      <c r="T31">
        <v>1630721</v>
      </c>
      <c r="U31">
        <v>274557</v>
      </c>
      <c r="V31">
        <v>4783950</v>
      </c>
      <c r="W31">
        <v>0</v>
      </c>
      <c r="X31">
        <v>585550</v>
      </c>
      <c r="Y31">
        <v>1344302</v>
      </c>
      <c r="Z31">
        <v>25669558</v>
      </c>
      <c r="AA31">
        <v>69514</v>
      </c>
      <c r="AB31">
        <v>288636</v>
      </c>
      <c r="AC31">
        <v>0</v>
      </c>
      <c r="AD31">
        <v>0</v>
      </c>
      <c r="AE31">
        <v>0</v>
      </c>
      <c r="AF31">
        <v>42828635</v>
      </c>
      <c r="AG31">
        <v>0</v>
      </c>
      <c r="AH31">
        <v>113016</v>
      </c>
      <c r="AI31">
        <v>3463244</v>
      </c>
      <c r="AJ31">
        <v>23383</v>
      </c>
      <c r="AK31">
        <v>101243</v>
      </c>
      <c r="AL31">
        <v>18659528</v>
      </c>
      <c r="AM31">
        <v>102073</v>
      </c>
      <c r="AN31">
        <v>7695045</v>
      </c>
      <c r="AO31">
        <v>0</v>
      </c>
      <c r="AP31">
        <v>2406720</v>
      </c>
      <c r="AQ31">
        <v>0</v>
      </c>
      <c r="AR31">
        <v>0</v>
      </c>
      <c r="AS31">
        <v>1239454</v>
      </c>
      <c r="AT31">
        <v>445161</v>
      </c>
      <c r="AU31">
        <v>129175386</v>
      </c>
      <c r="AV31">
        <v>48905654</v>
      </c>
      <c r="AW31">
        <v>1003456</v>
      </c>
      <c r="AX31">
        <v>337741</v>
      </c>
      <c r="AY31">
        <v>362116</v>
      </c>
      <c r="AZ31">
        <v>278399</v>
      </c>
      <c r="BA31">
        <v>217526</v>
      </c>
      <c r="BB31">
        <v>2976112</v>
      </c>
      <c r="BC31">
        <v>115517</v>
      </c>
      <c r="BD31">
        <v>0</v>
      </c>
      <c r="BE31">
        <v>152847</v>
      </c>
      <c r="BF31">
        <v>8992620</v>
      </c>
      <c r="BG31">
        <v>0</v>
      </c>
      <c r="BH31">
        <v>6712141</v>
      </c>
      <c r="BI31">
        <v>1892204</v>
      </c>
      <c r="BJ31">
        <v>0</v>
      </c>
      <c r="BK31">
        <v>0</v>
      </c>
      <c r="BL31">
        <v>17188748</v>
      </c>
      <c r="BM31">
        <v>19654739</v>
      </c>
      <c r="BN31">
        <v>1838866</v>
      </c>
      <c r="BO31">
        <v>31632870</v>
      </c>
      <c r="BP31">
        <v>56784836</v>
      </c>
      <c r="BQ31">
        <v>208072</v>
      </c>
      <c r="BR31">
        <v>2469788</v>
      </c>
      <c r="BS31">
        <v>0</v>
      </c>
      <c r="BT31">
        <v>10545070</v>
      </c>
      <c r="BU31">
        <v>192005</v>
      </c>
      <c r="BV31">
        <v>20075</v>
      </c>
      <c r="BW31">
        <v>2260502</v>
      </c>
      <c r="BX31">
        <v>0</v>
      </c>
      <c r="BY31">
        <v>17288537</v>
      </c>
      <c r="BZ31">
        <v>229803</v>
      </c>
      <c r="CA31">
        <v>0</v>
      </c>
      <c r="CB31">
        <v>312927</v>
      </c>
      <c r="CC31">
        <v>0</v>
      </c>
      <c r="CD31">
        <v>0</v>
      </c>
    </row>
    <row r="32" spans="1:82" x14ac:dyDescent="0.3">
      <c r="A32" s="155">
        <v>89</v>
      </c>
      <c r="B32" t="s">
        <v>221</v>
      </c>
      <c r="D32">
        <v>0</v>
      </c>
      <c r="E32">
        <v>79691</v>
      </c>
      <c r="F32">
        <v>0</v>
      </c>
      <c r="G32">
        <v>0</v>
      </c>
      <c r="H32">
        <v>59067</v>
      </c>
      <c r="I32">
        <v>0</v>
      </c>
      <c r="J32">
        <v>0</v>
      </c>
      <c r="K32">
        <v>31395</v>
      </c>
      <c r="L32">
        <v>333490</v>
      </c>
      <c r="M32">
        <v>0</v>
      </c>
      <c r="N32">
        <v>0</v>
      </c>
      <c r="O32">
        <v>0</v>
      </c>
      <c r="P32">
        <v>0</v>
      </c>
      <c r="Q32">
        <v>0</v>
      </c>
      <c r="R32">
        <v>0</v>
      </c>
      <c r="S32">
        <v>0</v>
      </c>
      <c r="T32">
        <v>23589</v>
      </c>
      <c r="U32">
        <v>1824</v>
      </c>
      <c r="V32">
        <v>135660</v>
      </c>
      <c r="W32">
        <v>0</v>
      </c>
      <c r="X32">
        <v>0</v>
      </c>
      <c r="Y32">
        <v>28943</v>
      </c>
      <c r="Z32">
        <v>1073909</v>
      </c>
      <c r="AA32">
        <v>0</v>
      </c>
      <c r="AB32">
        <v>0</v>
      </c>
      <c r="AC32">
        <v>0</v>
      </c>
      <c r="AD32">
        <v>0</v>
      </c>
      <c r="AE32">
        <v>0</v>
      </c>
      <c r="AF32">
        <v>687175</v>
      </c>
      <c r="AG32">
        <v>0</v>
      </c>
      <c r="AH32">
        <v>0</v>
      </c>
      <c r="AI32">
        <v>74414</v>
      </c>
      <c r="AJ32">
        <v>0</v>
      </c>
      <c r="AK32">
        <v>0</v>
      </c>
      <c r="AL32">
        <v>484874</v>
      </c>
      <c r="AM32">
        <v>72905</v>
      </c>
      <c r="AN32">
        <v>74932</v>
      </c>
      <c r="AO32">
        <v>0</v>
      </c>
      <c r="AP32">
        <v>47880</v>
      </c>
      <c r="AQ32">
        <v>0</v>
      </c>
      <c r="AR32">
        <v>0</v>
      </c>
      <c r="AS32">
        <v>38404</v>
      </c>
      <c r="AT32">
        <v>0</v>
      </c>
      <c r="AU32">
        <v>6169705</v>
      </c>
      <c r="AV32">
        <v>2192481</v>
      </c>
      <c r="AW32">
        <v>29208</v>
      </c>
      <c r="AX32">
        <v>13057</v>
      </c>
      <c r="AY32">
        <v>652</v>
      </c>
      <c r="AZ32">
        <v>0</v>
      </c>
      <c r="BA32">
        <v>23828</v>
      </c>
      <c r="BB32">
        <v>0</v>
      </c>
      <c r="BC32">
        <v>9056</v>
      </c>
      <c r="BD32">
        <v>0</v>
      </c>
      <c r="BE32">
        <v>13631</v>
      </c>
      <c r="BF32">
        <v>263780</v>
      </c>
      <c r="BG32">
        <v>0</v>
      </c>
      <c r="BH32">
        <v>424697</v>
      </c>
      <c r="BI32">
        <v>19129</v>
      </c>
      <c r="BJ32">
        <v>0</v>
      </c>
      <c r="BK32">
        <v>0</v>
      </c>
      <c r="BL32">
        <v>84822</v>
      </c>
      <c r="BM32">
        <v>473227</v>
      </c>
      <c r="BN32">
        <v>209009</v>
      </c>
      <c r="BO32">
        <v>330062</v>
      </c>
      <c r="BP32">
        <v>6576713</v>
      </c>
      <c r="BQ32">
        <v>0</v>
      </c>
      <c r="BR32">
        <v>0</v>
      </c>
      <c r="BS32">
        <v>0</v>
      </c>
      <c r="BT32">
        <v>808875</v>
      </c>
      <c r="BU32">
        <v>0</v>
      </c>
      <c r="BV32">
        <v>0</v>
      </c>
      <c r="BW32">
        <v>39248</v>
      </c>
      <c r="BX32">
        <v>0</v>
      </c>
      <c r="BY32">
        <v>742365</v>
      </c>
      <c r="BZ32">
        <v>15872</v>
      </c>
      <c r="CA32">
        <v>0</v>
      </c>
      <c r="CB32">
        <v>3750</v>
      </c>
      <c r="CC32">
        <v>0</v>
      </c>
      <c r="CD32">
        <v>0</v>
      </c>
    </row>
    <row r="33" spans="1:82" x14ac:dyDescent="0.3">
      <c r="A33" s="155">
        <v>90</v>
      </c>
      <c r="B33" t="s">
        <v>214</v>
      </c>
      <c r="D33">
        <v>0</v>
      </c>
      <c r="E33">
        <v>0</v>
      </c>
      <c r="F33">
        <v>0</v>
      </c>
      <c r="G33">
        <v>0</v>
      </c>
      <c r="H33">
        <v>0</v>
      </c>
      <c r="I33">
        <v>0</v>
      </c>
      <c r="J33">
        <v>0</v>
      </c>
      <c r="K33">
        <v>0</v>
      </c>
      <c r="L33">
        <v>233169</v>
      </c>
      <c r="M33">
        <v>0</v>
      </c>
      <c r="N33">
        <v>0</v>
      </c>
      <c r="O33">
        <v>0</v>
      </c>
      <c r="P33">
        <v>0</v>
      </c>
      <c r="Q33">
        <v>1113780</v>
      </c>
      <c r="R33">
        <v>0</v>
      </c>
      <c r="S33">
        <v>1024304</v>
      </c>
      <c r="T33">
        <v>0</v>
      </c>
      <c r="U33">
        <v>0</v>
      </c>
      <c r="V33">
        <v>0</v>
      </c>
      <c r="W33">
        <v>0</v>
      </c>
      <c r="X33">
        <v>0</v>
      </c>
      <c r="Y33">
        <v>464060</v>
      </c>
      <c r="Z33">
        <v>0</v>
      </c>
      <c r="AA33">
        <v>0</v>
      </c>
      <c r="AB33">
        <v>0</v>
      </c>
      <c r="AC33">
        <v>0</v>
      </c>
      <c r="AD33">
        <v>0</v>
      </c>
      <c r="AE33">
        <v>0</v>
      </c>
      <c r="AF33">
        <v>50648242</v>
      </c>
      <c r="AG33">
        <v>0</v>
      </c>
      <c r="AH33">
        <v>0</v>
      </c>
      <c r="AI33">
        <v>0</v>
      </c>
      <c r="AJ33">
        <v>0</v>
      </c>
      <c r="AK33">
        <v>0</v>
      </c>
      <c r="AL33">
        <v>0</v>
      </c>
      <c r="AM33">
        <v>0</v>
      </c>
      <c r="AN33">
        <v>0</v>
      </c>
      <c r="AO33">
        <v>0</v>
      </c>
      <c r="AP33">
        <v>6354762</v>
      </c>
      <c r="AQ33">
        <v>0</v>
      </c>
      <c r="AR33">
        <v>0</v>
      </c>
      <c r="AS33">
        <v>0</v>
      </c>
      <c r="AT33">
        <v>0</v>
      </c>
      <c r="AU33">
        <v>0</v>
      </c>
      <c r="AV33">
        <v>70325453</v>
      </c>
      <c r="AW33">
        <v>0</v>
      </c>
      <c r="AX33">
        <v>0</v>
      </c>
      <c r="AY33">
        <v>0</v>
      </c>
      <c r="AZ33">
        <v>0</v>
      </c>
      <c r="BA33">
        <v>551428</v>
      </c>
      <c r="BB33">
        <v>0</v>
      </c>
      <c r="BC33">
        <v>0</v>
      </c>
      <c r="BD33">
        <v>0</v>
      </c>
      <c r="BE33">
        <v>0</v>
      </c>
      <c r="BF33">
        <v>0</v>
      </c>
      <c r="BG33">
        <v>0</v>
      </c>
      <c r="BH33">
        <v>0</v>
      </c>
      <c r="BI33">
        <v>0</v>
      </c>
      <c r="BJ33">
        <v>0</v>
      </c>
      <c r="BK33">
        <v>0</v>
      </c>
      <c r="BL33">
        <v>0</v>
      </c>
      <c r="BM33">
        <v>0</v>
      </c>
      <c r="BN33">
        <v>900355</v>
      </c>
      <c r="BO33">
        <v>0</v>
      </c>
      <c r="BP33">
        <v>63162050</v>
      </c>
      <c r="BQ33">
        <v>0</v>
      </c>
      <c r="BR33">
        <v>8001863</v>
      </c>
      <c r="BS33">
        <v>0</v>
      </c>
      <c r="BT33">
        <v>0</v>
      </c>
      <c r="BU33">
        <v>351715</v>
      </c>
      <c r="BV33">
        <v>0</v>
      </c>
      <c r="BW33">
        <v>0</v>
      </c>
      <c r="BX33">
        <v>0</v>
      </c>
      <c r="BY33">
        <v>0</v>
      </c>
      <c r="BZ33">
        <v>274793</v>
      </c>
      <c r="CA33">
        <v>0</v>
      </c>
      <c r="CB33">
        <v>0</v>
      </c>
      <c r="CC33">
        <v>0</v>
      </c>
      <c r="CD33">
        <v>5850950</v>
      </c>
    </row>
    <row r="34" spans="1:82" x14ac:dyDescent="0.3">
      <c r="A34" s="155">
        <v>91</v>
      </c>
      <c r="B34" t="s">
        <v>215</v>
      </c>
      <c r="D34">
        <v>0</v>
      </c>
      <c r="E34">
        <v>0</v>
      </c>
      <c r="F34">
        <v>0</v>
      </c>
      <c r="G34">
        <v>0</v>
      </c>
      <c r="H34">
        <v>0</v>
      </c>
      <c r="I34">
        <v>0</v>
      </c>
      <c r="J34">
        <v>0</v>
      </c>
      <c r="K34">
        <v>0</v>
      </c>
      <c r="L34">
        <v>896241</v>
      </c>
      <c r="M34" s="180">
        <v>0</v>
      </c>
      <c r="N34">
        <v>0</v>
      </c>
      <c r="O34">
        <v>0</v>
      </c>
      <c r="P34">
        <v>0</v>
      </c>
      <c r="Q34">
        <v>1712371</v>
      </c>
      <c r="R34">
        <v>0</v>
      </c>
      <c r="S34">
        <v>51071</v>
      </c>
      <c r="T34">
        <v>0</v>
      </c>
      <c r="U34">
        <v>0</v>
      </c>
      <c r="V34">
        <v>0</v>
      </c>
      <c r="W34">
        <v>0</v>
      </c>
      <c r="X34">
        <v>0</v>
      </c>
      <c r="Y34">
        <v>130753</v>
      </c>
      <c r="Z34">
        <v>0</v>
      </c>
      <c r="AA34">
        <v>0</v>
      </c>
      <c r="AB34">
        <v>0</v>
      </c>
      <c r="AC34">
        <v>0</v>
      </c>
      <c r="AD34">
        <v>0</v>
      </c>
      <c r="AE34">
        <v>0</v>
      </c>
      <c r="AF34">
        <v>9208876</v>
      </c>
      <c r="AG34">
        <v>0</v>
      </c>
      <c r="AH34">
        <v>0</v>
      </c>
      <c r="AI34">
        <v>0</v>
      </c>
      <c r="AJ34">
        <v>0</v>
      </c>
      <c r="AK34">
        <v>0</v>
      </c>
      <c r="AL34">
        <v>0</v>
      </c>
      <c r="AM34">
        <v>0</v>
      </c>
      <c r="AN34">
        <v>0</v>
      </c>
      <c r="AO34">
        <v>0</v>
      </c>
      <c r="AP34">
        <v>896880</v>
      </c>
      <c r="AQ34">
        <v>0</v>
      </c>
      <c r="AR34">
        <v>0</v>
      </c>
      <c r="AS34">
        <v>0</v>
      </c>
      <c r="AT34">
        <v>0</v>
      </c>
      <c r="AU34">
        <v>0</v>
      </c>
      <c r="AV34">
        <v>18162397</v>
      </c>
      <c r="AW34">
        <v>0</v>
      </c>
      <c r="AX34">
        <v>0</v>
      </c>
      <c r="AY34">
        <v>0</v>
      </c>
      <c r="AZ34">
        <v>0</v>
      </c>
      <c r="BA34">
        <v>10326</v>
      </c>
      <c r="BB34">
        <v>0</v>
      </c>
      <c r="BC34">
        <v>0</v>
      </c>
      <c r="BD34">
        <v>0</v>
      </c>
      <c r="BE34">
        <v>0</v>
      </c>
      <c r="BF34">
        <v>0</v>
      </c>
      <c r="BG34">
        <v>0</v>
      </c>
      <c r="BH34">
        <v>0</v>
      </c>
      <c r="BI34">
        <v>0</v>
      </c>
      <c r="BJ34">
        <v>0</v>
      </c>
      <c r="BK34">
        <v>0</v>
      </c>
      <c r="BL34">
        <v>0</v>
      </c>
      <c r="BM34">
        <v>0</v>
      </c>
      <c r="BN34">
        <v>560593</v>
      </c>
      <c r="BO34">
        <v>0</v>
      </c>
      <c r="BP34">
        <v>12178436</v>
      </c>
      <c r="BQ34">
        <v>0</v>
      </c>
      <c r="BR34">
        <v>608396</v>
      </c>
      <c r="BS34">
        <v>0</v>
      </c>
      <c r="BT34">
        <v>0</v>
      </c>
      <c r="BU34">
        <v>32355</v>
      </c>
      <c r="BV34">
        <v>0</v>
      </c>
      <c r="BW34">
        <v>0</v>
      </c>
      <c r="BX34">
        <v>0</v>
      </c>
      <c r="BY34">
        <v>0</v>
      </c>
      <c r="BZ34">
        <v>61343</v>
      </c>
      <c r="CA34">
        <v>0</v>
      </c>
      <c r="CB34">
        <v>0</v>
      </c>
      <c r="CC34">
        <v>0</v>
      </c>
      <c r="CD34">
        <v>3527164</v>
      </c>
    </row>
    <row r="35" spans="1:82" x14ac:dyDescent="0.3">
      <c r="A35" s="155">
        <v>93</v>
      </c>
      <c r="B35" t="s">
        <v>228</v>
      </c>
      <c r="D35">
        <v>0</v>
      </c>
      <c r="E35">
        <v>0</v>
      </c>
      <c r="F35">
        <v>0</v>
      </c>
      <c r="G35">
        <v>0</v>
      </c>
      <c r="H35">
        <v>0</v>
      </c>
      <c r="I35">
        <v>0</v>
      </c>
      <c r="J35">
        <v>0</v>
      </c>
      <c r="K35">
        <v>0</v>
      </c>
      <c r="L35">
        <v>6438112</v>
      </c>
      <c r="M35" s="180">
        <v>0</v>
      </c>
      <c r="N35">
        <v>0</v>
      </c>
      <c r="O35">
        <v>0</v>
      </c>
      <c r="P35">
        <v>0</v>
      </c>
      <c r="Q35">
        <v>11081099</v>
      </c>
      <c r="R35">
        <v>0</v>
      </c>
      <c r="S35">
        <v>678409</v>
      </c>
      <c r="T35">
        <v>0</v>
      </c>
      <c r="U35">
        <v>0</v>
      </c>
      <c r="V35">
        <v>0</v>
      </c>
      <c r="W35">
        <v>0</v>
      </c>
      <c r="X35">
        <v>0</v>
      </c>
      <c r="Y35">
        <v>1522140</v>
      </c>
      <c r="Z35">
        <v>0</v>
      </c>
      <c r="AA35">
        <v>0</v>
      </c>
      <c r="AB35">
        <v>0</v>
      </c>
      <c r="AC35">
        <v>0</v>
      </c>
      <c r="AD35">
        <v>0</v>
      </c>
      <c r="AE35">
        <v>0</v>
      </c>
      <c r="AF35">
        <v>77785299</v>
      </c>
      <c r="AG35">
        <v>0</v>
      </c>
      <c r="AH35">
        <v>0</v>
      </c>
      <c r="AI35">
        <v>0</v>
      </c>
      <c r="AJ35">
        <v>0</v>
      </c>
      <c r="AK35">
        <v>0</v>
      </c>
      <c r="AL35">
        <v>0</v>
      </c>
      <c r="AM35">
        <v>0</v>
      </c>
      <c r="AN35">
        <v>0</v>
      </c>
      <c r="AO35">
        <v>0</v>
      </c>
      <c r="AP35">
        <v>6966233</v>
      </c>
      <c r="AQ35">
        <v>0</v>
      </c>
      <c r="AR35">
        <v>0</v>
      </c>
      <c r="AS35">
        <v>0</v>
      </c>
      <c r="AT35">
        <v>0</v>
      </c>
      <c r="AU35">
        <v>0</v>
      </c>
      <c r="AV35">
        <v>178090162</v>
      </c>
      <c r="AW35">
        <v>0</v>
      </c>
      <c r="AX35">
        <v>0</v>
      </c>
      <c r="AY35">
        <v>0</v>
      </c>
      <c r="AZ35">
        <v>0</v>
      </c>
      <c r="BA35">
        <v>361926</v>
      </c>
      <c r="BB35">
        <v>0</v>
      </c>
      <c r="BC35">
        <v>0</v>
      </c>
      <c r="BD35">
        <v>0</v>
      </c>
      <c r="BE35">
        <v>0</v>
      </c>
      <c r="BF35">
        <v>0</v>
      </c>
      <c r="BG35">
        <v>0</v>
      </c>
      <c r="BH35">
        <v>0</v>
      </c>
      <c r="BI35">
        <v>0</v>
      </c>
      <c r="BJ35">
        <v>0</v>
      </c>
      <c r="BK35">
        <v>0</v>
      </c>
      <c r="BL35">
        <v>0</v>
      </c>
      <c r="BM35">
        <v>0</v>
      </c>
      <c r="BN35">
        <v>3209570</v>
      </c>
      <c r="BO35">
        <v>0</v>
      </c>
      <c r="BP35">
        <v>123934987</v>
      </c>
      <c r="BQ35">
        <v>0</v>
      </c>
      <c r="BR35">
        <v>6016684</v>
      </c>
      <c r="BS35">
        <v>0</v>
      </c>
      <c r="BT35">
        <v>0</v>
      </c>
      <c r="BU35">
        <v>496971</v>
      </c>
      <c r="BV35">
        <v>0</v>
      </c>
      <c r="BW35">
        <v>0</v>
      </c>
      <c r="BX35">
        <v>0</v>
      </c>
      <c r="BY35">
        <v>0</v>
      </c>
      <c r="BZ35">
        <v>856974</v>
      </c>
      <c r="CA35">
        <v>0</v>
      </c>
      <c r="CB35">
        <v>0</v>
      </c>
      <c r="CC35">
        <v>0</v>
      </c>
      <c r="CD35">
        <v>25948973</v>
      </c>
    </row>
    <row r="36" spans="1:82" x14ac:dyDescent="0.3">
      <c r="A36" s="155">
        <v>94</v>
      </c>
      <c r="B36" t="s">
        <v>231</v>
      </c>
      <c r="D36">
        <v>0</v>
      </c>
      <c r="E36">
        <v>0</v>
      </c>
      <c r="F36">
        <v>0</v>
      </c>
      <c r="G36">
        <v>0</v>
      </c>
      <c r="H36">
        <v>0</v>
      </c>
      <c r="I36">
        <v>0</v>
      </c>
      <c r="J36">
        <v>0</v>
      </c>
      <c r="K36">
        <v>0</v>
      </c>
      <c r="L36">
        <v>5914394</v>
      </c>
      <c r="M36" s="180">
        <v>0</v>
      </c>
      <c r="N36">
        <v>0</v>
      </c>
      <c r="O36">
        <v>0</v>
      </c>
      <c r="P36">
        <v>0</v>
      </c>
      <c r="Q36">
        <v>6284593</v>
      </c>
      <c r="R36">
        <v>0</v>
      </c>
      <c r="S36">
        <v>629723</v>
      </c>
      <c r="T36">
        <v>0</v>
      </c>
      <c r="U36">
        <v>0</v>
      </c>
      <c r="V36">
        <v>0</v>
      </c>
      <c r="W36">
        <v>0</v>
      </c>
      <c r="X36">
        <v>0</v>
      </c>
      <c r="Y36">
        <v>1526197</v>
      </c>
      <c r="Z36">
        <v>0</v>
      </c>
      <c r="AA36">
        <v>0</v>
      </c>
      <c r="AB36">
        <v>0</v>
      </c>
      <c r="AC36">
        <v>0</v>
      </c>
      <c r="AD36">
        <v>0</v>
      </c>
      <c r="AE36">
        <v>0</v>
      </c>
      <c r="AF36">
        <v>69573254</v>
      </c>
      <c r="AG36">
        <v>0</v>
      </c>
      <c r="AH36">
        <v>0</v>
      </c>
      <c r="AI36">
        <v>0</v>
      </c>
      <c r="AJ36">
        <v>0</v>
      </c>
      <c r="AK36">
        <v>0</v>
      </c>
      <c r="AL36">
        <v>0</v>
      </c>
      <c r="AM36">
        <v>0</v>
      </c>
      <c r="AN36">
        <v>0</v>
      </c>
      <c r="AO36">
        <v>0</v>
      </c>
      <c r="AP36">
        <v>6703101</v>
      </c>
      <c r="AQ36">
        <v>0</v>
      </c>
      <c r="AR36">
        <v>0</v>
      </c>
      <c r="AS36">
        <v>0</v>
      </c>
      <c r="AT36">
        <v>0</v>
      </c>
      <c r="AU36">
        <v>0</v>
      </c>
      <c r="AV36">
        <v>170465764</v>
      </c>
      <c r="AW36">
        <v>0</v>
      </c>
      <c r="AX36">
        <v>0</v>
      </c>
      <c r="AY36">
        <v>0</v>
      </c>
      <c r="AZ36">
        <v>0</v>
      </c>
      <c r="BA36">
        <v>373987</v>
      </c>
      <c r="BB36">
        <v>0</v>
      </c>
      <c r="BC36">
        <v>0</v>
      </c>
      <c r="BD36">
        <v>0</v>
      </c>
      <c r="BE36">
        <v>0</v>
      </c>
      <c r="BF36">
        <v>0</v>
      </c>
      <c r="BG36">
        <v>0</v>
      </c>
      <c r="BH36">
        <v>0</v>
      </c>
      <c r="BI36">
        <v>0</v>
      </c>
      <c r="BJ36">
        <v>0</v>
      </c>
      <c r="BK36">
        <v>0</v>
      </c>
      <c r="BL36">
        <v>0</v>
      </c>
      <c r="BM36">
        <v>0</v>
      </c>
      <c r="BN36">
        <v>3260049</v>
      </c>
      <c r="BO36">
        <v>0</v>
      </c>
      <c r="BP36">
        <v>120151146</v>
      </c>
      <c r="BQ36">
        <v>0</v>
      </c>
      <c r="BR36">
        <v>3861183</v>
      </c>
      <c r="BS36">
        <v>0</v>
      </c>
      <c r="BT36">
        <v>0</v>
      </c>
      <c r="BU36">
        <v>519490</v>
      </c>
      <c r="BV36">
        <v>0</v>
      </c>
      <c r="BW36">
        <v>0</v>
      </c>
      <c r="BX36">
        <v>0</v>
      </c>
      <c r="BY36">
        <v>0</v>
      </c>
      <c r="BZ36">
        <v>876903</v>
      </c>
      <c r="CA36">
        <v>0</v>
      </c>
      <c r="CB36">
        <v>0</v>
      </c>
      <c r="CC36">
        <v>0</v>
      </c>
      <c r="CD36">
        <v>24162704</v>
      </c>
    </row>
    <row r="37" spans="1:82" x14ac:dyDescent="0.3">
      <c r="A37" s="155">
        <v>97</v>
      </c>
      <c r="B37" t="s">
        <v>227</v>
      </c>
      <c r="D37">
        <v>0</v>
      </c>
      <c r="E37">
        <v>0</v>
      </c>
      <c r="F37">
        <v>0</v>
      </c>
      <c r="G37">
        <v>0</v>
      </c>
      <c r="H37">
        <v>0</v>
      </c>
      <c r="I37">
        <v>0</v>
      </c>
      <c r="J37">
        <v>0</v>
      </c>
      <c r="K37">
        <v>0</v>
      </c>
      <c r="L37">
        <v>6365892</v>
      </c>
      <c r="M37" s="180">
        <v>0</v>
      </c>
      <c r="N37">
        <v>0</v>
      </c>
      <c r="O37">
        <v>0</v>
      </c>
      <c r="P37">
        <v>0</v>
      </c>
      <c r="Q37">
        <v>10720106</v>
      </c>
      <c r="R37">
        <v>0</v>
      </c>
      <c r="S37">
        <v>604778</v>
      </c>
      <c r="T37">
        <v>0</v>
      </c>
      <c r="U37">
        <v>0</v>
      </c>
      <c r="V37">
        <v>0</v>
      </c>
      <c r="W37">
        <v>0</v>
      </c>
      <c r="X37">
        <v>0</v>
      </c>
      <c r="Y37">
        <v>1522140</v>
      </c>
      <c r="Z37">
        <v>0</v>
      </c>
      <c r="AA37">
        <v>0</v>
      </c>
      <c r="AB37">
        <v>0</v>
      </c>
      <c r="AC37">
        <v>0</v>
      </c>
      <c r="AD37">
        <v>0</v>
      </c>
      <c r="AE37">
        <v>0</v>
      </c>
      <c r="AF37">
        <v>75200920</v>
      </c>
      <c r="AG37">
        <v>0</v>
      </c>
      <c r="AH37">
        <v>0</v>
      </c>
      <c r="AI37">
        <v>0</v>
      </c>
      <c r="AJ37">
        <v>0</v>
      </c>
      <c r="AK37">
        <v>0</v>
      </c>
      <c r="AL37">
        <v>0</v>
      </c>
      <c r="AM37">
        <v>0</v>
      </c>
      <c r="AN37">
        <v>0</v>
      </c>
      <c r="AO37">
        <v>0</v>
      </c>
      <c r="AP37">
        <v>6808572</v>
      </c>
      <c r="AQ37">
        <v>0</v>
      </c>
      <c r="AR37">
        <v>0</v>
      </c>
      <c r="AS37">
        <v>0</v>
      </c>
      <c r="AT37">
        <v>0</v>
      </c>
      <c r="AU37">
        <v>0</v>
      </c>
      <c r="AV37">
        <v>177646528</v>
      </c>
      <c r="AW37">
        <v>0</v>
      </c>
      <c r="AX37">
        <v>0</v>
      </c>
      <c r="AY37">
        <v>0</v>
      </c>
      <c r="AZ37">
        <v>0</v>
      </c>
      <c r="BA37">
        <v>361926</v>
      </c>
      <c r="BB37">
        <v>0</v>
      </c>
      <c r="BC37">
        <v>0</v>
      </c>
      <c r="BD37">
        <v>0</v>
      </c>
      <c r="BE37">
        <v>0</v>
      </c>
      <c r="BF37">
        <v>0</v>
      </c>
      <c r="BG37">
        <v>0</v>
      </c>
      <c r="BH37">
        <v>0</v>
      </c>
      <c r="BI37">
        <v>0</v>
      </c>
      <c r="BJ37">
        <v>0</v>
      </c>
      <c r="BK37">
        <v>0</v>
      </c>
      <c r="BL37">
        <v>0</v>
      </c>
      <c r="BM37">
        <v>0</v>
      </c>
      <c r="BN37">
        <v>2912178</v>
      </c>
      <c r="BO37">
        <v>0</v>
      </c>
      <c r="BP37">
        <v>123848476</v>
      </c>
      <c r="BQ37">
        <v>0</v>
      </c>
      <c r="BR37">
        <v>5945899</v>
      </c>
      <c r="BS37">
        <v>0</v>
      </c>
      <c r="BT37">
        <v>0</v>
      </c>
      <c r="BU37">
        <v>486891</v>
      </c>
      <c r="BV37">
        <v>0</v>
      </c>
      <c r="BW37">
        <v>0</v>
      </c>
      <c r="BX37">
        <v>0</v>
      </c>
      <c r="BY37">
        <v>0</v>
      </c>
      <c r="BZ37">
        <v>843796</v>
      </c>
      <c r="CA37">
        <v>0</v>
      </c>
      <c r="CB37">
        <v>0</v>
      </c>
      <c r="CC37">
        <v>0</v>
      </c>
      <c r="CD37">
        <v>24942916</v>
      </c>
    </row>
    <row r="38" spans="1:82" x14ac:dyDescent="0.3">
      <c r="A38" s="155">
        <v>98</v>
      </c>
      <c r="B38" t="s">
        <v>232</v>
      </c>
      <c r="D38">
        <v>0</v>
      </c>
      <c r="E38">
        <v>0</v>
      </c>
      <c r="F38">
        <v>0</v>
      </c>
      <c r="G38">
        <v>0</v>
      </c>
      <c r="H38">
        <v>0</v>
      </c>
      <c r="I38">
        <v>0</v>
      </c>
      <c r="J38">
        <v>0</v>
      </c>
      <c r="K38">
        <v>0</v>
      </c>
      <c r="L38">
        <v>3734</v>
      </c>
      <c r="M38" s="180">
        <v>0</v>
      </c>
      <c r="N38">
        <v>0</v>
      </c>
      <c r="O38">
        <v>0</v>
      </c>
      <c r="P38">
        <v>0</v>
      </c>
      <c r="Q38">
        <v>0</v>
      </c>
      <c r="R38">
        <v>0</v>
      </c>
      <c r="S38">
        <v>0</v>
      </c>
      <c r="T38">
        <v>0</v>
      </c>
      <c r="U38">
        <v>0</v>
      </c>
      <c r="V38">
        <v>0</v>
      </c>
      <c r="W38">
        <v>0</v>
      </c>
      <c r="X38">
        <v>0</v>
      </c>
      <c r="Y38">
        <v>0</v>
      </c>
      <c r="Z38">
        <v>0</v>
      </c>
      <c r="AA38">
        <v>0</v>
      </c>
      <c r="AB38">
        <v>0</v>
      </c>
      <c r="AC38">
        <v>0</v>
      </c>
      <c r="AD38">
        <v>0</v>
      </c>
      <c r="AE38">
        <v>0</v>
      </c>
      <c r="AF38">
        <v>13007</v>
      </c>
      <c r="AG38">
        <v>0</v>
      </c>
      <c r="AH38">
        <v>0</v>
      </c>
      <c r="AI38">
        <v>0</v>
      </c>
      <c r="AJ38">
        <v>0</v>
      </c>
      <c r="AK38">
        <v>0</v>
      </c>
      <c r="AL38">
        <v>0</v>
      </c>
      <c r="AM38">
        <v>0</v>
      </c>
      <c r="AN38">
        <v>0</v>
      </c>
      <c r="AO38">
        <v>0</v>
      </c>
      <c r="AP38">
        <v>0</v>
      </c>
      <c r="AQ38">
        <v>0</v>
      </c>
      <c r="AR38">
        <v>0</v>
      </c>
      <c r="AS38">
        <v>0</v>
      </c>
      <c r="AT38">
        <v>0</v>
      </c>
      <c r="AU38">
        <v>0</v>
      </c>
      <c r="AV38">
        <v>2018447</v>
      </c>
      <c r="AW38">
        <v>0</v>
      </c>
      <c r="AX38">
        <v>0</v>
      </c>
      <c r="AY38">
        <v>0</v>
      </c>
      <c r="AZ38">
        <v>0</v>
      </c>
      <c r="BA38">
        <v>0</v>
      </c>
      <c r="BB38">
        <v>0</v>
      </c>
      <c r="BC38">
        <v>0</v>
      </c>
      <c r="BD38">
        <v>0</v>
      </c>
      <c r="BE38">
        <v>0</v>
      </c>
      <c r="BF38">
        <v>0</v>
      </c>
      <c r="BG38">
        <v>0</v>
      </c>
      <c r="BH38">
        <v>0</v>
      </c>
      <c r="BI38">
        <v>0</v>
      </c>
      <c r="BJ38">
        <v>0</v>
      </c>
      <c r="BK38">
        <v>0</v>
      </c>
      <c r="BL38">
        <v>0</v>
      </c>
      <c r="BM38">
        <v>0</v>
      </c>
      <c r="BN38">
        <v>7994</v>
      </c>
      <c r="BO38">
        <v>0</v>
      </c>
      <c r="BP38">
        <v>226</v>
      </c>
      <c r="BQ38">
        <v>0</v>
      </c>
      <c r="BR38">
        <v>0</v>
      </c>
      <c r="BS38">
        <v>0</v>
      </c>
      <c r="BT38">
        <v>0</v>
      </c>
      <c r="BU38">
        <v>0</v>
      </c>
      <c r="BV38">
        <v>0</v>
      </c>
      <c r="BW38">
        <v>0</v>
      </c>
      <c r="BX38">
        <v>0</v>
      </c>
      <c r="BY38">
        <v>0</v>
      </c>
      <c r="BZ38">
        <v>5542</v>
      </c>
      <c r="CA38">
        <v>0</v>
      </c>
      <c r="CB38">
        <v>0</v>
      </c>
      <c r="CC38">
        <v>0</v>
      </c>
      <c r="CD38">
        <v>23</v>
      </c>
    </row>
    <row r="39" spans="1:82" x14ac:dyDescent="0.3">
      <c r="A39" s="155">
        <v>99</v>
      </c>
      <c r="B39" t="s">
        <v>229</v>
      </c>
      <c r="D39">
        <v>0</v>
      </c>
      <c r="E39">
        <v>0</v>
      </c>
      <c r="F39">
        <v>0</v>
      </c>
      <c r="G39">
        <v>0</v>
      </c>
      <c r="H39">
        <v>0</v>
      </c>
      <c r="I39">
        <v>0</v>
      </c>
      <c r="J39">
        <v>0</v>
      </c>
      <c r="K39">
        <v>0</v>
      </c>
      <c r="L39">
        <v>4265316</v>
      </c>
      <c r="M39" s="180">
        <v>0</v>
      </c>
      <c r="N39">
        <v>0</v>
      </c>
      <c r="O39">
        <v>0</v>
      </c>
      <c r="P39">
        <v>0</v>
      </c>
      <c r="Q39">
        <v>3261900</v>
      </c>
      <c r="R39">
        <v>0</v>
      </c>
      <c r="S39">
        <v>306254</v>
      </c>
      <c r="T39">
        <v>0</v>
      </c>
      <c r="U39">
        <v>0</v>
      </c>
      <c r="V39">
        <v>0</v>
      </c>
      <c r="W39">
        <v>0</v>
      </c>
      <c r="X39">
        <v>0</v>
      </c>
      <c r="Y39">
        <v>1067651</v>
      </c>
      <c r="Z39">
        <v>0</v>
      </c>
      <c r="AA39">
        <v>0</v>
      </c>
      <c r="AB39">
        <v>0</v>
      </c>
      <c r="AC39">
        <v>0</v>
      </c>
      <c r="AD39">
        <v>0</v>
      </c>
      <c r="AE39">
        <v>0</v>
      </c>
      <c r="AF39">
        <v>54493539</v>
      </c>
      <c r="AG39">
        <v>0</v>
      </c>
      <c r="AH39">
        <v>0</v>
      </c>
      <c r="AI39">
        <v>0</v>
      </c>
      <c r="AJ39">
        <v>0</v>
      </c>
      <c r="AK39">
        <v>0</v>
      </c>
      <c r="AL39">
        <v>0</v>
      </c>
      <c r="AM39">
        <v>0</v>
      </c>
      <c r="AN39">
        <v>0</v>
      </c>
      <c r="AO39">
        <v>0</v>
      </c>
      <c r="AP39">
        <v>4537635</v>
      </c>
      <c r="AQ39">
        <v>0</v>
      </c>
      <c r="AR39">
        <v>0</v>
      </c>
      <c r="AS39">
        <v>0</v>
      </c>
      <c r="AT39">
        <v>0</v>
      </c>
      <c r="AU39">
        <v>0</v>
      </c>
      <c r="AV39">
        <v>127950613</v>
      </c>
      <c r="AW39">
        <v>0</v>
      </c>
      <c r="AX39">
        <v>0</v>
      </c>
      <c r="AY39">
        <v>0</v>
      </c>
      <c r="AZ39">
        <v>0</v>
      </c>
      <c r="BA39">
        <v>248834</v>
      </c>
      <c r="BB39">
        <v>0</v>
      </c>
      <c r="BC39">
        <v>0</v>
      </c>
      <c r="BD39">
        <v>0</v>
      </c>
      <c r="BE39">
        <v>0</v>
      </c>
      <c r="BF39">
        <v>0</v>
      </c>
      <c r="BG39">
        <v>0</v>
      </c>
      <c r="BH39">
        <v>0</v>
      </c>
      <c r="BI39">
        <v>0</v>
      </c>
      <c r="BJ39">
        <v>0</v>
      </c>
      <c r="BK39">
        <v>0</v>
      </c>
      <c r="BL39">
        <v>0</v>
      </c>
      <c r="BM39">
        <v>0</v>
      </c>
      <c r="BN39">
        <v>2243250</v>
      </c>
      <c r="BO39">
        <v>0</v>
      </c>
      <c r="BP39">
        <v>91181831</v>
      </c>
      <c r="BQ39">
        <v>0</v>
      </c>
      <c r="BR39">
        <v>2358296</v>
      </c>
      <c r="BS39">
        <v>0</v>
      </c>
      <c r="BT39">
        <v>0</v>
      </c>
      <c r="BU39">
        <v>310791</v>
      </c>
      <c r="BV39">
        <v>0</v>
      </c>
      <c r="BW39">
        <v>0</v>
      </c>
      <c r="BX39">
        <v>0</v>
      </c>
      <c r="BY39">
        <v>0</v>
      </c>
      <c r="BZ39">
        <v>614847</v>
      </c>
      <c r="CA39">
        <v>0</v>
      </c>
      <c r="CB39">
        <v>0</v>
      </c>
      <c r="CC39">
        <v>0</v>
      </c>
      <c r="CD39">
        <v>19352777</v>
      </c>
    </row>
    <row r="40" spans="1:82" x14ac:dyDescent="0.3">
      <c r="A40" s="155">
        <v>100</v>
      </c>
      <c r="B40" t="s">
        <v>242</v>
      </c>
      <c r="D40">
        <v>0</v>
      </c>
      <c r="E40">
        <v>0</v>
      </c>
      <c r="F40">
        <v>0</v>
      </c>
      <c r="G40">
        <v>0</v>
      </c>
      <c r="H40">
        <v>0</v>
      </c>
      <c r="I40">
        <v>0</v>
      </c>
      <c r="J40">
        <v>0</v>
      </c>
      <c r="K40">
        <v>0</v>
      </c>
      <c r="L40">
        <v>256815</v>
      </c>
      <c r="M40" s="180">
        <v>0</v>
      </c>
      <c r="N40">
        <v>0</v>
      </c>
      <c r="O40">
        <v>0</v>
      </c>
      <c r="P40">
        <v>0</v>
      </c>
      <c r="Q40">
        <v>0</v>
      </c>
      <c r="R40">
        <v>0</v>
      </c>
      <c r="S40">
        <v>0</v>
      </c>
      <c r="T40">
        <v>0</v>
      </c>
      <c r="U40">
        <v>0</v>
      </c>
      <c r="V40">
        <v>0</v>
      </c>
      <c r="W40">
        <v>0</v>
      </c>
      <c r="X40">
        <v>0</v>
      </c>
      <c r="Y40">
        <v>0</v>
      </c>
      <c r="Z40">
        <v>0</v>
      </c>
      <c r="AA40">
        <v>0</v>
      </c>
      <c r="AB40">
        <v>0</v>
      </c>
      <c r="AC40">
        <v>0</v>
      </c>
      <c r="AD40">
        <v>0</v>
      </c>
      <c r="AE40">
        <v>0</v>
      </c>
      <c r="AF40">
        <v>49637</v>
      </c>
      <c r="AG40">
        <v>0</v>
      </c>
      <c r="AH40">
        <v>0</v>
      </c>
      <c r="AI40">
        <v>0</v>
      </c>
      <c r="AJ40">
        <v>0</v>
      </c>
      <c r="AK40">
        <v>0</v>
      </c>
      <c r="AL40">
        <v>0</v>
      </c>
      <c r="AM40">
        <v>0</v>
      </c>
      <c r="AN40">
        <v>0</v>
      </c>
      <c r="AO40">
        <v>0</v>
      </c>
      <c r="AP40">
        <v>0</v>
      </c>
      <c r="AQ40">
        <v>0</v>
      </c>
      <c r="AR40">
        <v>0</v>
      </c>
      <c r="AS40">
        <v>0</v>
      </c>
      <c r="AT40">
        <v>0</v>
      </c>
      <c r="AU40">
        <v>0</v>
      </c>
      <c r="AV40">
        <v>2005165</v>
      </c>
      <c r="AW40">
        <v>0</v>
      </c>
      <c r="AX40">
        <v>0</v>
      </c>
      <c r="AY40">
        <v>0</v>
      </c>
      <c r="AZ40">
        <v>0</v>
      </c>
      <c r="BA40">
        <v>0</v>
      </c>
      <c r="BB40">
        <v>0</v>
      </c>
      <c r="BC40">
        <v>0</v>
      </c>
      <c r="BD40">
        <v>0</v>
      </c>
      <c r="BE40">
        <v>0</v>
      </c>
      <c r="BF40">
        <v>0</v>
      </c>
      <c r="BG40">
        <v>0</v>
      </c>
      <c r="BH40">
        <v>0</v>
      </c>
      <c r="BI40">
        <v>0</v>
      </c>
      <c r="BJ40">
        <v>0</v>
      </c>
      <c r="BK40">
        <v>0</v>
      </c>
      <c r="BL40">
        <v>0</v>
      </c>
      <c r="BM40">
        <v>0</v>
      </c>
      <c r="BN40">
        <v>10538</v>
      </c>
      <c r="BO40">
        <v>0</v>
      </c>
      <c r="BP40">
        <v>9901</v>
      </c>
      <c r="BQ40">
        <v>0</v>
      </c>
      <c r="BR40">
        <v>0</v>
      </c>
      <c r="BS40">
        <v>0</v>
      </c>
      <c r="BT40">
        <v>0</v>
      </c>
      <c r="BU40">
        <v>0</v>
      </c>
      <c r="BV40">
        <v>0</v>
      </c>
      <c r="BW40">
        <v>0</v>
      </c>
      <c r="BX40">
        <v>0</v>
      </c>
      <c r="BY40">
        <v>0</v>
      </c>
      <c r="BZ40">
        <v>8895</v>
      </c>
      <c r="CA40">
        <v>0</v>
      </c>
      <c r="CB40">
        <v>0</v>
      </c>
      <c r="CC40">
        <v>0</v>
      </c>
      <c r="CD40">
        <v>4360</v>
      </c>
    </row>
    <row r="41" spans="1:82" x14ac:dyDescent="0.3">
      <c r="A41" s="155">
        <v>101</v>
      </c>
      <c r="B41" t="s">
        <v>241</v>
      </c>
      <c r="D41">
        <v>0</v>
      </c>
      <c r="E41">
        <v>0</v>
      </c>
      <c r="F41">
        <v>0</v>
      </c>
      <c r="G41">
        <v>0</v>
      </c>
      <c r="H41">
        <v>0</v>
      </c>
      <c r="I41">
        <v>0</v>
      </c>
      <c r="J41">
        <v>0</v>
      </c>
      <c r="K41">
        <v>0</v>
      </c>
      <c r="L41">
        <v>46003</v>
      </c>
      <c r="M41" s="180">
        <v>0</v>
      </c>
      <c r="N41">
        <v>0</v>
      </c>
      <c r="O41">
        <v>0</v>
      </c>
      <c r="P41">
        <v>0</v>
      </c>
      <c r="Q41">
        <v>862107</v>
      </c>
      <c r="R41">
        <v>0</v>
      </c>
      <c r="S41">
        <v>0</v>
      </c>
      <c r="T41">
        <v>0</v>
      </c>
      <c r="U41">
        <v>0</v>
      </c>
      <c r="V41">
        <v>0</v>
      </c>
      <c r="W41">
        <v>0</v>
      </c>
      <c r="X41">
        <v>0</v>
      </c>
      <c r="Y41">
        <v>0</v>
      </c>
      <c r="Z41">
        <v>0</v>
      </c>
      <c r="AA41">
        <v>0</v>
      </c>
      <c r="AB41">
        <v>0</v>
      </c>
      <c r="AC41">
        <v>0</v>
      </c>
      <c r="AD41">
        <v>0</v>
      </c>
      <c r="AE41">
        <v>0</v>
      </c>
      <c r="AF41">
        <v>5527389</v>
      </c>
      <c r="AG41">
        <v>0</v>
      </c>
      <c r="AH41">
        <v>0</v>
      </c>
      <c r="AI41">
        <v>0</v>
      </c>
      <c r="AJ41">
        <v>0</v>
      </c>
      <c r="AK41">
        <v>0</v>
      </c>
      <c r="AL41">
        <v>0</v>
      </c>
      <c r="AM41">
        <v>0</v>
      </c>
      <c r="AN41">
        <v>0</v>
      </c>
      <c r="AO41">
        <v>0</v>
      </c>
      <c r="AP41">
        <v>58719</v>
      </c>
      <c r="AQ41">
        <v>0</v>
      </c>
      <c r="AR41">
        <v>0</v>
      </c>
      <c r="AS41">
        <v>0</v>
      </c>
      <c r="AT41">
        <v>0</v>
      </c>
      <c r="AU41">
        <v>0</v>
      </c>
      <c r="AV41">
        <v>19120205</v>
      </c>
      <c r="AW41">
        <v>0</v>
      </c>
      <c r="AX41">
        <v>0</v>
      </c>
      <c r="AY41">
        <v>0</v>
      </c>
      <c r="AZ41">
        <v>0</v>
      </c>
      <c r="BA41">
        <v>14659</v>
      </c>
      <c r="BB41">
        <v>0</v>
      </c>
      <c r="BC41">
        <v>0</v>
      </c>
      <c r="BD41">
        <v>0</v>
      </c>
      <c r="BE41">
        <v>0</v>
      </c>
      <c r="BF41">
        <v>0</v>
      </c>
      <c r="BG41">
        <v>0</v>
      </c>
      <c r="BH41">
        <v>0</v>
      </c>
      <c r="BI41">
        <v>0</v>
      </c>
      <c r="BJ41">
        <v>0</v>
      </c>
      <c r="BK41">
        <v>0</v>
      </c>
      <c r="BL41">
        <v>0</v>
      </c>
      <c r="BM41">
        <v>0</v>
      </c>
      <c r="BN41">
        <v>34636</v>
      </c>
      <c r="BO41">
        <v>0</v>
      </c>
      <c r="BP41">
        <v>3143395</v>
      </c>
      <c r="BQ41">
        <v>0</v>
      </c>
      <c r="BR41">
        <v>0</v>
      </c>
      <c r="BS41">
        <v>0</v>
      </c>
      <c r="BT41">
        <v>0</v>
      </c>
      <c r="BU41">
        <v>0</v>
      </c>
      <c r="BV41">
        <v>0</v>
      </c>
      <c r="BW41">
        <v>0</v>
      </c>
      <c r="BX41">
        <v>0</v>
      </c>
      <c r="BY41">
        <v>0</v>
      </c>
      <c r="BZ41">
        <v>36654</v>
      </c>
      <c r="CA41">
        <v>0</v>
      </c>
      <c r="CB41">
        <v>0</v>
      </c>
      <c r="CC41">
        <v>0</v>
      </c>
      <c r="CD41">
        <v>3563588</v>
      </c>
    </row>
    <row r="42" spans="1:82" x14ac:dyDescent="0.3">
      <c r="A42" s="155">
        <v>102</v>
      </c>
      <c r="B42" t="s">
        <v>255</v>
      </c>
      <c r="D42">
        <v>95.02</v>
      </c>
      <c r="E42">
        <v>91.39</v>
      </c>
      <c r="F42">
        <v>99.73</v>
      </c>
      <c r="G42">
        <v>99.33</v>
      </c>
      <c r="H42">
        <v>98.43</v>
      </c>
      <c r="I42">
        <v>100</v>
      </c>
      <c r="J42">
        <v>98.32</v>
      </c>
      <c r="K42">
        <v>97.16</v>
      </c>
      <c r="L42">
        <v>98.89</v>
      </c>
      <c r="M42">
        <v>99.05</v>
      </c>
      <c r="N42">
        <v>99.99</v>
      </c>
      <c r="O42">
        <v>99.76</v>
      </c>
      <c r="P42">
        <v>53.92</v>
      </c>
      <c r="Q42">
        <v>99.45</v>
      </c>
      <c r="R42">
        <v>99.7</v>
      </c>
      <c r="S42">
        <v>97.88</v>
      </c>
      <c r="T42">
        <v>99.92</v>
      </c>
      <c r="U42">
        <v>99.36</v>
      </c>
      <c r="V42">
        <v>97.24</v>
      </c>
      <c r="W42">
        <v>98.79</v>
      </c>
      <c r="X42">
        <v>98.81</v>
      </c>
      <c r="Y42">
        <v>95.39</v>
      </c>
      <c r="Z42">
        <v>99.79</v>
      </c>
      <c r="AA42">
        <v>0</v>
      </c>
      <c r="AB42">
        <v>94.09</v>
      </c>
      <c r="AC42">
        <v>99.69</v>
      </c>
      <c r="AD42">
        <v>97.36</v>
      </c>
      <c r="AE42">
        <v>90.61</v>
      </c>
      <c r="AF42">
        <v>99.18</v>
      </c>
      <c r="AG42">
        <v>98.56</v>
      </c>
      <c r="AH42">
        <v>92.98</v>
      </c>
      <c r="AI42">
        <v>99.19</v>
      </c>
      <c r="AJ42">
        <v>99.32</v>
      </c>
      <c r="AK42">
        <v>98.99</v>
      </c>
      <c r="AL42">
        <v>98.65</v>
      </c>
      <c r="AM42">
        <v>98.84</v>
      </c>
      <c r="AN42">
        <v>98.42</v>
      </c>
      <c r="AO42">
        <v>0</v>
      </c>
      <c r="AP42">
        <v>98.69</v>
      </c>
      <c r="AQ42">
        <v>98.72</v>
      </c>
      <c r="AR42">
        <v>96.24</v>
      </c>
      <c r="AS42">
        <v>96.39</v>
      </c>
      <c r="AT42">
        <v>91.9</v>
      </c>
      <c r="AU42">
        <v>99.37</v>
      </c>
      <c r="AV42">
        <v>99.72</v>
      </c>
      <c r="AW42">
        <v>96.68</v>
      </c>
      <c r="AX42">
        <v>98.68</v>
      </c>
      <c r="AY42">
        <v>95.45</v>
      </c>
      <c r="AZ42">
        <v>99.61</v>
      </c>
      <c r="BA42">
        <v>88.7</v>
      </c>
      <c r="BB42">
        <v>94.5</v>
      </c>
      <c r="BC42">
        <v>97.89</v>
      </c>
      <c r="BD42">
        <v>97.08</v>
      </c>
      <c r="BE42">
        <v>99.05</v>
      </c>
      <c r="BF42">
        <v>99.64</v>
      </c>
      <c r="BG42">
        <v>87.52</v>
      </c>
      <c r="BH42">
        <v>99.05</v>
      </c>
      <c r="BI42">
        <v>98.53</v>
      </c>
      <c r="BJ42">
        <v>98.65</v>
      </c>
      <c r="BK42">
        <v>0</v>
      </c>
      <c r="BL42">
        <v>97.28</v>
      </c>
      <c r="BM42">
        <v>99.05</v>
      </c>
      <c r="BN42">
        <v>94.94</v>
      </c>
      <c r="BO42">
        <v>99.06</v>
      </c>
      <c r="BP42">
        <v>99.21</v>
      </c>
      <c r="BQ42">
        <v>95.62</v>
      </c>
      <c r="BR42">
        <v>99.69</v>
      </c>
      <c r="BS42">
        <v>99.55</v>
      </c>
      <c r="BT42">
        <v>99.17</v>
      </c>
      <c r="BU42">
        <v>93.03</v>
      </c>
      <c r="BV42">
        <v>85.29</v>
      </c>
      <c r="BW42">
        <v>99.49</v>
      </c>
      <c r="BX42">
        <v>99.22</v>
      </c>
      <c r="BY42">
        <v>99.84</v>
      </c>
      <c r="BZ42">
        <v>99.52</v>
      </c>
      <c r="CA42">
        <v>99.66</v>
      </c>
      <c r="CB42">
        <v>97.65</v>
      </c>
      <c r="CC42">
        <v>97.04</v>
      </c>
      <c r="CD42">
        <v>99.65</v>
      </c>
    </row>
    <row r="43" spans="1:82" x14ac:dyDescent="0.3">
      <c r="A43" s="155">
        <v>103</v>
      </c>
      <c r="B43" t="s">
        <v>256</v>
      </c>
      <c r="D43">
        <v>100</v>
      </c>
      <c r="E43">
        <v>100</v>
      </c>
      <c r="F43">
        <v>100</v>
      </c>
      <c r="G43">
        <v>100</v>
      </c>
      <c r="H43">
        <v>100</v>
      </c>
      <c r="I43">
        <v>100</v>
      </c>
      <c r="J43">
        <v>100</v>
      </c>
      <c r="K43">
        <v>99.57</v>
      </c>
      <c r="L43">
        <v>100</v>
      </c>
      <c r="M43">
        <v>100</v>
      </c>
      <c r="N43">
        <v>100</v>
      </c>
      <c r="O43">
        <v>99.75</v>
      </c>
      <c r="P43">
        <v>100</v>
      </c>
      <c r="Q43">
        <v>100</v>
      </c>
      <c r="R43">
        <v>100</v>
      </c>
      <c r="S43">
        <v>100</v>
      </c>
      <c r="T43">
        <v>100</v>
      </c>
      <c r="U43">
        <v>100</v>
      </c>
      <c r="V43">
        <v>100</v>
      </c>
      <c r="W43">
        <v>100</v>
      </c>
      <c r="X43">
        <v>100</v>
      </c>
      <c r="Y43">
        <v>100</v>
      </c>
      <c r="Z43">
        <v>100</v>
      </c>
      <c r="AA43">
        <v>0</v>
      </c>
      <c r="AB43">
        <v>99.09</v>
      </c>
      <c r="AC43">
        <v>100</v>
      </c>
      <c r="AD43">
        <v>100</v>
      </c>
      <c r="AE43">
        <v>100</v>
      </c>
      <c r="AF43">
        <v>99.5</v>
      </c>
      <c r="AG43">
        <v>100</v>
      </c>
      <c r="AH43">
        <v>100</v>
      </c>
      <c r="AI43">
        <v>100</v>
      </c>
      <c r="AJ43">
        <v>100</v>
      </c>
      <c r="AK43">
        <v>100</v>
      </c>
      <c r="AL43">
        <v>100</v>
      </c>
      <c r="AM43">
        <v>88.97</v>
      </c>
      <c r="AN43">
        <v>98.93</v>
      </c>
      <c r="AO43">
        <v>0</v>
      </c>
      <c r="AP43">
        <v>100</v>
      </c>
      <c r="AQ43">
        <v>100</v>
      </c>
      <c r="AR43">
        <v>100</v>
      </c>
      <c r="AS43">
        <v>100</v>
      </c>
      <c r="AT43">
        <v>100</v>
      </c>
      <c r="AU43">
        <v>99.54</v>
      </c>
      <c r="AV43">
        <v>100</v>
      </c>
      <c r="AW43">
        <v>100</v>
      </c>
      <c r="AX43">
        <v>100</v>
      </c>
      <c r="AY43">
        <v>99.65</v>
      </c>
      <c r="AZ43">
        <v>100</v>
      </c>
      <c r="BA43">
        <v>100</v>
      </c>
      <c r="BB43">
        <v>100</v>
      </c>
      <c r="BC43">
        <v>100</v>
      </c>
      <c r="BD43">
        <v>99.8</v>
      </c>
      <c r="BE43">
        <v>100</v>
      </c>
      <c r="BF43">
        <v>100</v>
      </c>
      <c r="BG43">
        <v>84.59</v>
      </c>
      <c r="BH43">
        <v>100</v>
      </c>
      <c r="BI43">
        <v>100</v>
      </c>
      <c r="BJ43">
        <v>100</v>
      </c>
      <c r="BK43">
        <v>0</v>
      </c>
      <c r="BL43">
        <v>100</v>
      </c>
      <c r="BM43">
        <v>99.58</v>
      </c>
      <c r="BN43">
        <v>100</v>
      </c>
      <c r="BO43">
        <v>100</v>
      </c>
      <c r="BP43">
        <v>99.94</v>
      </c>
      <c r="BQ43">
        <v>100</v>
      </c>
      <c r="BR43">
        <v>100</v>
      </c>
      <c r="BS43">
        <v>100</v>
      </c>
      <c r="BT43">
        <v>100</v>
      </c>
      <c r="BU43">
        <v>97.9</v>
      </c>
      <c r="BV43">
        <v>100</v>
      </c>
      <c r="BW43">
        <v>100</v>
      </c>
      <c r="BX43">
        <v>100</v>
      </c>
      <c r="BY43">
        <v>99.3</v>
      </c>
      <c r="BZ43">
        <v>99.91</v>
      </c>
      <c r="CA43">
        <v>100</v>
      </c>
      <c r="CB43">
        <v>100</v>
      </c>
      <c r="CC43">
        <v>92.46</v>
      </c>
      <c r="CD43">
        <v>100</v>
      </c>
    </row>
    <row r="44" spans="1:82" x14ac:dyDescent="0.3">
      <c r="A44" s="155">
        <v>171</v>
      </c>
      <c r="B44" t="s">
        <v>208</v>
      </c>
      <c r="D44">
        <v>0</v>
      </c>
      <c r="E44">
        <v>57685</v>
      </c>
      <c r="F44">
        <v>60280</v>
      </c>
      <c r="G44">
        <v>0</v>
      </c>
      <c r="H44">
        <v>1129</v>
      </c>
      <c r="I44">
        <v>0</v>
      </c>
      <c r="J44">
        <v>0</v>
      </c>
      <c r="K44">
        <v>0</v>
      </c>
      <c r="L44">
        <v>503037</v>
      </c>
      <c r="M44">
        <v>13812129</v>
      </c>
      <c r="N44">
        <v>0</v>
      </c>
      <c r="O44">
        <v>738579</v>
      </c>
      <c r="P44">
        <v>0</v>
      </c>
      <c r="Q44">
        <v>284649</v>
      </c>
      <c r="R44">
        <v>0</v>
      </c>
      <c r="S44">
        <v>14778</v>
      </c>
      <c r="T44">
        <v>71643</v>
      </c>
      <c r="U44">
        <v>0</v>
      </c>
      <c r="V44">
        <v>208039</v>
      </c>
      <c r="W44">
        <v>225677</v>
      </c>
      <c r="X44">
        <v>0</v>
      </c>
      <c r="Y44">
        <v>0</v>
      </c>
      <c r="Z44">
        <v>3888431</v>
      </c>
      <c r="AA44">
        <v>0</v>
      </c>
      <c r="AB44">
        <v>12293</v>
      </c>
      <c r="AC44">
        <v>4050673</v>
      </c>
      <c r="AD44">
        <v>55346</v>
      </c>
      <c r="AE44">
        <v>16633</v>
      </c>
      <c r="AF44">
        <v>5711619</v>
      </c>
      <c r="AG44">
        <v>0</v>
      </c>
      <c r="AH44">
        <v>0</v>
      </c>
      <c r="AI44">
        <v>162134</v>
      </c>
      <c r="AJ44">
        <v>0</v>
      </c>
      <c r="AK44">
        <v>0</v>
      </c>
      <c r="AL44">
        <v>4784874</v>
      </c>
      <c r="AM44">
        <v>0</v>
      </c>
      <c r="AN44">
        <v>0</v>
      </c>
      <c r="AO44">
        <v>0</v>
      </c>
      <c r="AP44">
        <v>2893</v>
      </c>
      <c r="AQ44">
        <v>111529</v>
      </c>
      <c r="AR44">
        <v>0</v>
      </c>
      <c r="AS44">
        <v>84213</v>
      </c>
      <c r="AT44">
        <v>0</v>
      </c>
      <c r="AU44">
        <v>41043176</v>
      </c>
      <c r="AV44">
        <v>5290303</v>
      </c>
      <c r="AW44">
        <v>161107</v>
      </c>
      <c r="AX44">
        <v>4375</v>
      </c>
      <c r="AY44">
        <v>0</v>
      </c>
      <c r="AZ44">
        <v>2075</v>
      </c>
      <c r="BA44">
        <v>0</v>
      </c>
      <c r="BB44">
        <v>0</v>
      </c>
      <c r="BC44">
        <v>0</v>
      </c>
      <c r="BD44">
        <v>2731</v>
      </c>
      <c r="BE44">
        <v>0</v>
      </c>
      <c r="BF44">
        <v>1824838</v>
      </c>
      <c r="BG44">
        <v>0</v>
      </c>
      <c r="BH44">
        <v>351179</v>
      </c>
      <c r="BI44">
        <v>116653</v>
      </c>
      <c r="BJ44">
        <v>0</v>
      </c>
      <c r="BK44">
        <v>0</v>
      </c>
      <c r="BL44">
        <v>573717</v>
      </c>
      <c r="BM44">
        <v>15041695</v>
      </c>
      <c r="BN44">
        <v>66172</v>
      </c>
      <c r="BO44">
        <v>3997109</v>
      </c>
      <c r="BP44">
        <v>13047991</v>
      </c>
      <c r="BQ44">
        <v>0</v>
      </c>
      <c r="BR44">
        <v>0</v>
      </c>
      <c r="BS44">
        <v>0</v>
      </c>
      <c r="BT44">
        <v>764076</v>
      </c>
      <c r="BU44">
        <v>5322</v>
      </c>
      <c r="BV44">
        <v>0</v>
      </c>
      <c r="BW44">
        <v>1595151</v>
      </c>
      <c r="BX44">
        <v>0</v>
      </c>
      <c r="BY44">
        <v>6660009</v>
      </c>
      <c r="BZ44">
        <v>5267</v>
      </c>
      <c r="CA44">
        <v>1192718</v>
      </c>
      <c r="CB44">
        <v>23661</v>
      </c>
      <c r="CC44">
        <v>26163</v>
      </c>
      <c r="CD44">
        <v>5171175</v>
      </c>
    </row>
    <row r="45" spans="1:82" x14ac:dyDescent="0.3">
      <c r="A45" s="155">
        <v>191</v>
      </c>
      <c r="B45" t="s">
        <v>224</v>
      </c>
      <c r="D45">
        <v>0</v>
      </c>
      <c r="E45">
        <v>61700</v>
      </c>
      <c r="F45">
        <v>0</v>
      </c>
      <c r="G45">
        <v>283896</v>
      </c>
      <c r="H45">
        <v>0</v>
      </c>
      <c r="I45">
        <v>0</v>
      </c>
      <c r="J45">
        <v>0</v>
      </c>
      <c r="K45">
        <v>0</v>
      </c>
      <c r="L45">
        <v>586525</v>
      </c>
      <c r="M45">
        <v>0</v>
      </c>
      <c r="N45">
        <v>0</v>
      </c>
      <c r="O45">
        <v>0</v>
      </c>
      <c r="P45">
        <v>0</v>
      </c>
      <c r="Q45">
        <v>11686</v>
      </c>
      <c r="R45">
        <v>0</v>
      </c>
      <c r="S45">
        <v>0</v>
      </c>
      <c r="T45">
        <v>1007856</v>
      </c>
      <c r="U45">
        <v>0</v>
      </c>
      <c r="V45">
        <v>0</v>
      </c>
      <c r="W45">
        <v>0</v>
      </c>
      <c r="X45">
        <v>164270</v>
      </c>
      <c r="Y45">
        <v>0</v>
      </c>
      <c r="Z45">
        <v>11017659</v>
      </c>
      <c r="AA45">
        <v>0</v>
      </c>
      <c r="AB45">
        <v>59988</v>
      </c>
      <c r="AC45">
        <v>0</v>
      </c>
      <c r="AD45">
        <v>0</v>
      </c>
      <c r="AE45">
        <v>0</v>
      </c>
      <c r="AF45">
        <v>4877277</v>
      </c>
      <c r="AG45">
        <v>0</v>
      </c>
      <c r="AH45">
        <v>0</v>
      </c>
      <c r="AI45">
        <v>0</v>
      </c>
      <c r="AJ45">
        <v>0</v>
      </c>
      <c r="AK45">
        <v>0</v>
      </c>
      <c r="AL45">
        <v>359206</v>
      </c>
      <c r="AM45">
        <v>0</v>
      </c>
      <c r="AN45">
        <v>1921809</v>
      </c>
      <c r="AO45">
        <v>0</v>
      </c>
      <c r="AP45">
        <v>0</v>
      </c>
      <c r="AQ45">
        <v>0</v>
      </c>
      <c r="AR45">
        <v>0</v>
      </c>
      <c r="AS45">
        <v>0</v>
      </c>
      <c r="AT45">
        <v>771467</v>
      </c>
      <c r="AU45">
        <v>980312</v>
      </c>
      <c r="AV45">
        <v>18539618</v>
      </c>
      <c r="AW45">
        <v>604835</v>
      </c>
      <c r="AX45">
        <v>0</v>
      </c>
      <c r="AY45">
        <v>0</v>
      </c>
      <c r="AZ45">
        <v>0</v>
      </c>
      <c r="BA45">
        <v>0</v>
      </c>
      <c r="BB45">
        <v>283800</v>
      </c>
      <c r="BC45">
        <v>0</v>
      </c>
      <c r="BD45">
        <v>0</v>
      </c>
      <c r="BE45">
        <v>0</v>
      </c>
      <c r="BF45">
        <v>0</v>
      </c>
      <c r="BG45">
        <v>0</v>
      </c>
      <c r="BH45">
        <v>0</v>
      </c>
      <c r="BI45">
        <v>0</v>
      </c>
      <c r="BJ45">
        <v>0</v>
      </c>
      <c r="BK45">
        <v>0</v>
      </c>
      <c r="BL45">
        <v>0</v>
      </c>
      <c r="BM45">
        <v>2797404</v>
      </c>
      <c r="BN45">
        <v>0</v>
      </c>
      <c r="BO45">
        <v>524143</v>
      </c>
      <c r="BP45">
        <v>431497</v>
      </c>
      <c r="BQ45">
        <v>0</v>
      </c>
      <c r="BR45">
        <v>0</v>
      </c>
      <c r="BS45">
        <v>0</v>
      </c>
      <c r="BT45">
        <v>1016196</v>
      </c>
      <c r="BU45">
        <v>168578</v>
      </c>
      <c r="BV45">
        <v>132543</v>
      </c>
      <c r="BW45">
        <v>0</v>
      </c>
      <c r="BX45">
        <v>0</v>
      </c>
      <c r="BY45">
        <v>3018954</v>
      </c>
      <c r="BZ45">
        <v>626559</v>
      </c>
      <c r="CA45">
        <v>0</v>
      </c>
      <c r="CB45">
        <v>0</v>
      </c>
      <c r="CC45">
        <v>0</v>
      </c>
      <c r="CD45">
        <v>0</v>
      </c>
    </row>
    <row r="46" spans="1:82" x14ac:dyDescent="0.3">
      <c r="A46" s="155">
        <v>192</v>
      </c>
      <c r="B46" s="551" t="s">
        <v>235</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26564</v>
      </c>
      <c r="AG46">
        <v>0</v>
      </c>
      <c r="AH46">
        <v>0</v>
      </c>
      <c r="AI46">
        <v>0</v>
      </c>
      <c r="AJ46">
        <v>0</v>
      </c>
      <c r="AK46">
        <v>0</v>
      </c>
      <c r="AL46">
        <v>0</v>
      </c>
      <c r="AM46">
        <v>0</v>
      </c>
      <c r="AN46">
        <v>0</v>
      </c>
      <c r="AO46">
        <v>0</v>
      </c>
      <c r="AP46">
        <v>0</v>
      </c>
      <c r="AQ46">
        <v>0</v>
      </c>
      <c r="AR46">
        <v>0</v>
      </c>
      <c r="AS46">
        <v>0</v>
      </c>
      <c r="AT46">
        <v>0</v>
      </c>
      <c r="AU46">
        <v>0</v>
      </c>
      <c r="AV46">
        <v>31250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row>
    <row r="47" spans="1:82" x14ac:dyDescent="0.3">
      <c r="A47" s="155">
        <v>252</v>
      </c>
      <c r="B47" t="s">
        <v>95</v>
      </c>
      <c r="D47">
        <v>2380406</v>
      </c>
      <c r="E47">
        <v>1129028</v>
      </c>
      <c r="F47">
        <v>1432315</v>
      </c>
      <c r="G47">
        <v>735645</v>
      </c>
      <c r="H47">
        <v>434892</v>
      </c>
      <c r="I47">
        <v>525352</v>
      </c>
      <c r="J47">
        <v>70631</v>
      </c>
      <c r="K47">
        <v>137957</v>
      </c>
      <c r="L47">
        <v>7801080</v>
      </c>
      <c r="M47">
        <v>350198457</v>
      </c>
      <c r="N47">
        <v>3686143</v>
      </c>
      <c r="O47">
        <v>12352958</v>
      </c>
      <c r="P47">
        <v>763015</v>
      </c>
      <c r="Q47">
        <v>21188688</v>
      </c>
      <c r="R47">
        <v>158337</v>
      </c>
      <c r="S47">
        <v>230557</v>
      </c>
      <c r="T47">
        <v>694962</v>
      </c>
      <c r="U47">
        <v>1486779</v>
      </c>
      <c r="V47">
        <v>6383199</v>
      </c>
      <c r="W47">
        <v>1748589</v>
      </c>
      <c r="X47">
        <v>605476</v>
      </c>
      <c r="Y47">
        <v>824653</v>
      </c>
      <c r="Z47">
        <v>143128393</v>
      </c>
      <c r="AA47">
        <v>1828024</v>
      </c>
      <c r="AB47">
        <v>101635</v>
      </c>
      <c r="AC47">
        <v>68089913</v>
      </c>
      <c r="AD47">
        <v>816833</v>
      </c>
      <c r="AE47">
        <v>380800</v>
      </c>
      <c r="AF47">
        <v>119691275</v>
      </c>
      <c r="AG47">
        <v>209510</v>
      </c>
      <c r="AH47">
        <v>212739</v>
      </c>
      <c r="AI47">
        <v>4725379</v>
      </c>
      <c r="AJ47">
        <v>509866</v>
      </c>
      <c r="AK47">
        <v>677619</v>
      </c>
      <c r="AL47">
        <v>59221372</v>
      </c>
      <c r="AM47">
        <v>753885</v>
      </c>
      <c r="AN47">
        <v>19439814</v>
      </c>
      <c r="AO47">
        <v>0</v>
      </c>
      <c r="AP47">
        <v>5852940</v>
      </c>
      <c r="AQ47">
        <v>3829780</v>
      </c>
      <c r="AR47">
        <v>2044185</v>
      </c>
      <c r="AS47">
        <v>1983284</v>
      </c>
      <c r="AT47">
        <v>-37243</v>
      </c>
      <c r="AU47">
        <v>268028286</v>
      </c>
      <c r="AV47">
        <v>191804373</v>
      </c>
      <c r="AW47">
        <v>595337</v>
      </c>
      <c r="AX47">
        <v>513310</v>
      </c>
      <c r="AY47">
        <v>174388</v>
      </c>
      <c r="AZ47">
        <v>145091</v>
      </c>
      <c r="BA47">
        <v>332204</v>
      </c>
      <c r="BB47">
        <v>6950750</v>
      </c>
      <c r="BC47">
        <v>650488</v>
      </c>
      <c r="BD47">
        <v>188549</v>
      </c>
      <c r="BE47">
        <v>23101</v>
      </c>
      <c r="BF47">
        <v>30246021</v>
      </c>
      <c r="BG47">
        <v>27110</v>
      </c>
      <c r="BH47">
        <v>10061461</v>
      </c>
      <c r="BI47">
        <v>1410664</v>
      </c>
      <c r="BJ47">
        <v>555450</v>
      </c>
      <c r="BK47">
        <v>189612</v>
      </c>
      <c r="BL47">
        <v>16263678</v>
      </c>
      <c r="BM47">
        <v>19891169</v>
      </c>
      <c r="BN47">
        <v>1003761</v>
      </c>
      <c r="BO47">
        <v>104673435</v>
      </c>
      <c r="BP47">
        <v>171668128</v>
      </c>
      <c r="BQ47">
        <v>1015450</v>
      </c>
      <c r="BR47">
        <v>15430010</v>
      </c>
      <c r="BS47">
        <v>2816843</v>
      </c>
      <c r="BT47">
        <v>21085633</v>
      </c>
      <c r="BU47">
        <v>1140284</v>
      </c>
      <c r="BV47">
        <v>773284</v>
      </c>
      <c r="BW47">
        <v>2935394</v>
      </c>
      <c r="BX47">
        <v>1888606</v>
      </c>
      <c r="BY47">
        <v>107213114</v>
      </c>
      <c r="BZ47">
        <v>1074160</v>
      </c>
      <c r="CA47">
        <v>18686266</v>
      </c>
      <c r="CB47">
        <v>451369</v>
      </c>
      <c r="CC47">
        <v>4081286</v>
      </c>
      <c r="CD47">
        <v>95355063</v>
      </c>
    </row>
    <row r="48" spans="1:82" x14ac:dyDescent="0.3">
      <c r="A48" s="155">
        <v>253</v>
      </c>
      <c r="B48" t="s">
        <v>96</v>
      </c>
      <c r="D48">
        <v>69460</v>
      </c>
      <c r="E48">
        <v>827909</v>
      </c>
      <c r="F48">
        <v>308920</v>
      </c>
      <c r="G48">
        <v>85820</v>
      </c>
      <c r="H48">
        <v>213417</v>
      </c>
      <c r="I48">
        <v>45549</v>
      </c>
      <c r="J48">
        <v>25830</v>
      </c>
      <c r="K48">
        <v>124833</v>
      </c>
      <c r="L48">
        <v>1557229</v>
      </c>
      <c r="M48">
        <v>59722337</v>
      </c>
      <c r="N48">
        <v>224708</v>
      </c>
      <c r="O48">
        <v>1710422</v>
      </c>
      <c r="P48">
        <v>63996</v>
      </c>
      <c r="Q48">
        <v>1841813</v>
      </c>
      <c r="R48">
        <v>20728</v>
      </c>
      <c r="S48">
        <v>59062</v>
      </c>
      <c r="T48">
        <v>410223</v>
      </c>
      <c r="U48">
        <v>137955</v>
      </c>
      <c r="V48">
        <v>1038262</v>
      </c>
      <c r="W48">
        <v>355521</v>
      </c>
      <c r="X48">
        <v>573373</v>
      </c>
      <c r="Y48">
        <v>291915</v>
      </c>
      <c r="Z48">
        <v>6356909</v>
      </c>
      <c r="AA48">
        <v>3302030</v>
      </c>
      <c r="AB48">
        <v>217629</v>
      </c>
      <c r="AC48">
        <v>4408818</v>
      </c>
      <c r="AD48">
        <v>334222</v>
      </c>
      <c r="AE48">
        <v>80713</v>
      </c>
      <c r="AF48">
        <v>20025187</v>
      </c>
      <c r="AG48">
        <v>114026</v>
      </c>
      <c r="AH48">
        <v>68476</v>
      </c>
      <c r="AI48">
        <v>935333</v>
      </c>
      <c r="AJ48">
        <v>344846</v>
      </c>
      <c r="AK48">
        <v>37535</v>
      </c>
      <c r="AL48">
        <v>10056329</v>
      </c>
      <c r="AM48">
        <v>66936</v>
      </c>
      <c r="AN48">
        <v>5166365</v>
      </c>
      <c r="AO48">
        <v>9164</v>
      </c>
      <c r="AP48">
        <v>757380</v>
      </c>
      <c r="AQ48">
        <v>420190</v>
      </c>
      <c r="AR48">
        <v>8196</v>
      </c>
      <c r="AS48">
        <v>650426</v>
      </c>
      <c r="AT48">
        <v>69996</v>
      </c>
      <c r="AU48">
        <v>179713965</v>
      </c>
      <c r="AV48">
        <v>31786487</v>
      </c>
      <c r="AW48">
        <v>274003</v>
      </c>
      <c r="AX48">
        <v>119695</v>
      </c>
      <c r="AY48">
        <v>169962</v>
      </c>
      <c r="AZ48">
        <v>59676</v>
      </c>
      <c r="BA48">
        <v>103197</v>
      </c>
      <c r="BB48">
        <v>702302</v>
      </c>
      <c r="BC48">
        <v>242861</v>
      </c>
      <c r="BD48">
        <v>26948</v>
      </c>
      <c r="BE48">
        <v>22506</v>
      </c>
      <c r="BF48">
        <v>2680370</v>
      </c>
      <c r="BG48">
        <v>66702</v>
      </c>
      <c r="BH48">
        <v>3214615</v>
      </c>
      <c r="BI48">
        <v>574460</v>
      </c>
      <c r="BJ48">
        <v>86097</v>
      </c>
      <c r="BK48">
        <v>14396</v>
      </c>
      <c r="BL48">
        <v>3887212</v>
      </c>
      <c r="BM48">
        <v>6802743</v>
      </c>
      <c r="BN48">
        <v>758225</v>
      </c>
      <c r="BO48">
        <v>13744450</v>
      </c>
      <c r="BP48">
        <v>52715880</v>
      </c>
      <c r="BQ48">
        <v>59457</v>
      </c>
      <c r="BR48">
        <v>793876</v>
      </c>
      <c r="BS48">
        <v>404728</v>
      </c>
      <c r="BT48">
        <v>3185893</v>
      </c>
      <c r="BU48">
        <v>71662</v>
      </c>
      <c r="BV48">
        <v>142342</v>
      </c>
      <c r="BW48">
        <v>10837390</v>
      </c>
      <c r="BX48">
        <v>445044</v>
      </c>
      <c r="BY48">
        <v>65907494</v>
      </c>
      <c r="BZ48">
        <v>266420</v>
      </c>
      <c r="CA48">
        <v>1999671</v>
      </c>
      <c r="CB48">
        <v>162227</v>
      </c>
      <c r="CC48">
        <v>544364</v>
      </c>
      <c r="CD48">
        <v>26403545</v>
      </c>
    </row>
    <row r="49" spans="1:82" x14ac:dyDescent="0.3">
      <c r="A49" s="155">
        <v>254</v>
      </c>
      <c r="B49" t="s">
        <v>97</v>
      </c>
      <c r="D49">
        <v>612925</v>
      </c>
      <c r="E49">
        <v>-1176518</v>
      </c>
      <c r="F49">
        <v>426626</v>
      </c>
      <c r="G49">
        <v>940495</v>
      </c>
      <c r="H49">
        <v>922686</v>
      </c>
      <c r="I49">
        <v>163037</v>
      </c>
      <c r="J49">
        <v>103587</v>
      </c>
      <c r="K49">
        <v>401677</v>
      </c>
      <c r="L49">
        <v>-498145</v>
      </c>
      <c r="M49">
        <v>1385952</v>
      </c>
      <c r="N49">
        <v>3865384</v>
      </c>
      <c r="O49">
        <v>4993366</v>
      </c>
      <c r="P49">
        <v>141970</v>
      </c>
      <c r="Q49">
        <v>-10408406</v>
      </c>
      <c r="R49">
        <v>164085</v>
      </c>
      <c r="S49">
        <v>644167</v>
      </c>
      <c r="T49">
        <v>1031985</v>
      </c>
      <c r="U49">
        <v>1794593</v>
      </c>
      <c r="V49">
        <v>2361187</v>
      </c>
      <c r="W49">
        <v>82185</v>
      </c>
      <c r="X49">
        <v>426688</v>
      </c>
      <c r="Y49">
        <v>-408278</v>
      </c>
      <c r="Z49">
        <v>52592737</v>
      </c>
      <c r="AA49">
        <v>5276031</v>
      </c>
      <c r="AB49">
        <v>1205932</v>
      </c>
      <c r="AC49">
        <v>2838965</v>
      </c>
      <c r="AD49">
        <v>588197</v>
      </c>
      <c r="AE49">
        <v>690542</v>
      </c>
      <c r="AF49">
        <v>-35003649</v>
      </c>
      <c r="AG49">
        <v>1051976</v>
      </c>
      <c r="AH49">
        <v>288641</v>
      </c>
      <c r="AI49">
        <v>1421579</v>
      </c>
      <c r="AJ49">
        <v>1110718</v>
      </c>
      <c r="AK49">
        <v>67383</v>
      </c>
      <c r="AL49">
        <v>-5754835</v>
      </c>
      <c r="AM49">
        <v>607072</v>
      </c>
      <c r="AN49">
        <v>-3268686</v>
      </c>
      <c r="AO49">
        <v>105734</v>
      </c>
      <c r="AP49">
        <v>4701301</v>
      </c>
      <c r="AQ49">
        <v>2113042</v>
      </c>
      <c r="AR49">
        <v>272070</v>
      </c>
      <c r="AS49">
        <v>1833323</v>
      </c>
      <c r="AT49">
        <v>868017</v>
      </c>
      <c r="AU49">
        <v>-139524025</v>
      </c>
      <c r="AV49">
        <v>-10454888</v>
      </c>
      <c r="AW49">
        <v>1112423</v>
      </c>
      <c r="AX49">
        <v>150582</v>
      </c>
      <c r="AY49">
        <v>388998</v>
      </c>
      <c r="AZ49">
        <v>125572</v>
      </c>
      <c r="BA49">
        <v>999496</v>
      </c>
      <c r="BB49">
        <v>-3808570</v>
      </c>
      <c r="BC49">
        <v>1313839</v>
      </c>
      <c r="BD49">
        <v>231362</v>
      </c>
      <c r="BE49">
        <v>135074</v>
      </c>
      <c r="BF49">
        <v>13051616</v>
      </c>
      <c r="BG49">
        <v>33085</v>
      </c>
      <c r="BH49">
        <v>7545595</v>
      </c>
      <c r="BI49">
        <v>-573413</v>
      </c>
      <c r="BJ49">
        <v>520681</v>
      </c>
      <c r="BK49">
        <v>511269</v>
      </c>
      <c r="BL49">
        <v>-3773233</v>
      </c>
      <c r="BM49">
        <v>-89526</v>
      </c>
      <c r="BN49">
        <v>1126891</v>
      </c>
      <c r="BO49">
        <v>7620353</v>
      </c>
      <c r="BP49">
        <v>-34843742</v>
      </c>
      <c r="BQ49">
        <v>323371</v>
      </c>
      <c r="BR49">
        <v>4811545</v>
      </c>
      <c r="BS49">
        <v>3039097</v>
      </c>
      <c r="BT49">
        <v>7238665</v>
      </c>
      <c r="BU49">
        <v>290430</v>
      </c>
      <c r="BV49">
        <v>592109</v>
      </c>
      <c r="BW49">
        <v>-840420</v>
      </c>
      <c r="BX49">
        <v>1774668</v>
      </c>
      <c r="BY49">
        <v>-10960049</v>
      </c>
      <c r="BZ49">
        <v>118054</v>
      </c>
      <c r="CA49">
        <v>-6213497</v>
      </c>
      <c r="CB49">
        <v>806008</v>
      </c>
      <c r="CC49">
        <v>1735129</v>
      </c>
      <c r="CD49">
        <v>28364130</v>
      </c>
    </row>
    <row r="50" spans="1:82" x14ac:dyDescent="0.3">
      <c r="A50" s="155">
        <v>255</v>
      </c>
      <c r="B50" t="s">
        <v>188</v>
      </c>
      <c r="D50">
        <v>213904</v>
      </c>
      <c r="E50">
        <v>135042</v>
      </c>
      <c r="F50">
        <v>433440</v>
      </c>
      <c r="G50">
        <v>196762</v>
      </c>
      <c r="H50">
        <v>191512</v>
      </c>
      <c r="I50">
        <v>-7968</v>
      </c>
      <c r="J50">
        <v>-8099</v>
      </c>
      <c r="K50">
        <v>19474</v>
      </c>
      <c r="L50">
        <v>995737</v>
      </c>
      <c r="M50">
        <v>13782517</v>
      </c>
      <c r="N50">
        <v>526081</v>
      </c>
      <c r="O50">
        <v>1178305</v>
      </c>
      <c r="P50">
        <v>15324</v>
      </c>
      <c r="Q50">
        <v>-1480172</v>
      </c>
      <c r="R50">
        <v>13572</v>
      </c>
      <c r="S50">
        <v>34098</v>
      </c>
      <c r="T50">
        <v>879233</v>
      </c>
      <c r="U50">
        <v>542478</v>
      </c>
      <c r="V50">
        <v>1077368</v>
      </c>
      <c r="W50">
        <v>168123</v>
      </c>
      <c r="X50">
        <v>114812</v>
      </c>
      <c r="Y50">
        <v>98376</v>
      </c>
      <c r="Z50">
        <v>43276819</v>
      </c>
      <c r="AA50">
        <v>634048</v>
      </c>
      <c r="AB50">
        <v>280748</v>
      </c>
      <c r="AC50">
        <v>3693228</v>
      </c>
      <c r="AD50">
        <v>470266</v>
      </c>
      <c r="AE50">
        <v>123540</v>
      </c>
      <c r="AF50">
        <v>326377</v>
      </c>
      <c r="AG50">
        <v>169216</v>
      </c>
      <c r="AH50">
        <v>43122</v>
      </c>
      <c r="AI50">
        <v>1632379</v>
      </c>
      <c r="AJ50">
        <v>400499</v>
      </c>
      <c r="AK50">
        <v>323</v>
      </c>
      <c r="AL50">
        <v>9920476</v>
      </c>
      <c r="AM50">
        <v>112086</v>
      </c>
      <c r="AN50">
        <v>1506271</v>
      </c>
      <c r="AO50">
        <v>42889</v>
      </c>
      <c r="AP50">
        <v>1620665</v>
      </c>
      <c r="AQ50">
        <v>1216668</v>
      </c>
      <c r="AR50">
        <v>836310</v>
      </c>
      <c r="AS50">
        <v>830650</v>
      </c>
      <c r="AT50">
        <v>-178148</v>
      </c>
      <c r="AU50">
        <v>23647405</v>
      </c>
      <c r="AV50">
        <v>11682326</v>
      </c>
      <c r="AW50">
        <v>202324</v>
      </c>
      <c r="AX50">
        <v>68192</v>
      </c>
      <c r="AY50">
        <v>112992</v>
      </c>
      <c r="AZ50">
        <v>24176</v>
      </c>
      <c r="BA50">
        <v>7985</v>
      </c>
      <c r="BB50">
        <v>-208745</v>
      </c>
      <c r="BC50">
        <v>272122</v>
      </c>
      <c r="BD50">
        <v>8389</v>
      </c>
      <c r="BE50">
        <v>17116</v>
      </c>
      <c r="BF50">
        <v>10760472</v>
      </c>
      <c r="BG50">
        <v>13100</v>
      </c>
      <c r="BH50">
        <v>2200421</v>
      </c>
      <c r="BI50">
        <v>150820</v>
      </c>
      <c r="BJ50">
        <v>-18046</v>
      </c>
      <c r="BK50">
        <v>-29483</v>
      </c>
      <c r="BL50">
        <v>-585054</v>
      </c>
      <c r="BM50">
        <v>1129881</v>
      </c>
      <c r="BN50">
        <v>645600</v>
      </c>
      <c r="BO50">
        <v>20369202</v>
      </c>
      <c r="BP50">
        <v>8749296</v>
      </c>
      <c r="BQ50">
        <v>137263</v>
      </c>
      <c r="BR50">
        <v>886266</v>
      </c>
      <c r="BS50">
        <v>233854</v>
      </c>
      <c r="BT50">
        <v>3037245</v>
      </c>
      <c r="BU50">
        <v>-25151</v>
      </c>
      <c r="BV50">
        <v>-135920</v>
      </c>
      <c r="BW50">
        <v>558562</v>
      </c>
      <c r="BX50">
        <v>636221</v>
      </c>
      <c r="BY50">
        <v>4284259</v>
      </c>
      <c r="BZ50">
        <v>220117</v>
      </c>
      <c r="CA50">
        <v>-389417</v>
      </c>
      <c r="CB50">
        <v>190803</v>
      </c>
      <c r="CC50">
        <v>521718</v>
      </c>
      <c r="CD50">
        <v>8424675</v>
      </c>
    </row>
    <row r="51" spans="1:82" x14ac:dyDescent="0.3">
      <c r="A51" s="155">
        <v>327</v>
      </c>
      <c r="B51" t="s">
        <v>881</v>
      </c>
      <c r="D51">
        <v>25626</v>
      </c>
      <c r="E51">
        <v>7091</v>
      </c>
      <c r="F51">
        <v>0</v>
      </c>
      <c r="G51">
        <v>338738</v>
      </c>
      <c r="H51">
        <v>7337</v>
      </c>
      <c r="I51">
        <v>0</v>
      </c>
      <c r="J51">
        <v>0</v>
      </c>
      <c r="K51">
        <v>5700</v>
      </c>
      <c r="L51">
        <v>251747</v>
      </c>
      <c r="M51">
        <v>0</v>
      </c>
      <c r="N51">
        <v>0</v>
      </c>
      <c r="O51">
        <v>0</v>
      </c>
      <c r="P51">
        <v>0</v>
      </c>
      <c r="Q51">
        <v>177882</v>
      </c>
      <c r="R51">
        <v>0</v>
      </c>
      <c r="S51">
        <v>0</v>
      </c>
      <c r="T51">
        <v>48416</v>
      </c>
      <c r="U51">
        <v>85035</v>
      </c>
      <c r="V51">
        <v>1052081</v>
      </c>
      <c r="W51">
        <v>0</v>
      </c>
      <c r="X51">
        <v>3000</v>
      </c>
      <c r="Y51">
        <v>215800</v>
      </c>
      <c r="Z51">
        <v>421341</v>
      </c>
      <c r="AA51">
        <v>0</v>
      </c>
      <c r="AB51">
        <v>51113</v>
      </c>
      <c r="AC51">
        <v>0</v>
      </c>
      <c r="AD51">
        <v>0</v>
      </c>
      <c r="AE51">
        <v>0</v>
      </c>
      <c r="AF51">
        <v>12409353</v>
      </c>
      <c r="AG51">
        <v>0</v>
      </c>
      <c r="AH51">
        <v>12410</v>
      </c>
      <c r="AI51">
        <v>18591</v>
      </c>
      <c r="AJ51">
        <v>0</v>
      </c>
      <c r="AK51">
        <v>0</v>
      </c>
      <c r="AL51">
        <v>1443282</v>
      </c>
      <c r="AM51">
        <v>0</v>
      </c>
      <c r="AN51">
        <v>1284547</v>
      </c>
      <c r="AO51">
        <v>0</v>
      </c>
      <c r="AP51">
        <v>165740</v>
      </c>
      <c r="AQ51">
        <v>0</v>
      </c>
      <c r="AR51">
        <v>0</v>
      </c>
      <c r="AS51">
        <v>20097</v>
      </c>
      <c r="AT51">
        <v>36050</v>
      </c>
      <c r="AU51">
        <v>47257071</v>
      </c>
      <c r="AV51">
        <v>3855141</v>
      </c>
      <c r="AW51">
        <v>0</v>
      </c>
      <c r="AX51">
        <v>11826</v>
      </c>
      <c r="AY51">
        <v>415323</v>
      </c>
      <c r="AZ51">
        <v>11712</v>
      </c>
      <c r="BA51">
        <v>7940</v>
      </c>
      <c r="BB51">
        <v>243585</v>
      </c>
      <c r="BC51">
        <v>190882</v>
      </c>
      <c r="BD51">
        <v>0</v>
      </c>
      <c r="BE51">
        <v>3281</v>
      </c>
      <c r="BF51">
        <v>858549</v>
      </c>
      <c r="BG51">
        <v>0</v>
      </c>
      <c r="BH51">
        <v>306658</v>
      </c>
      <c r="BI51">
        <v>1040</v>
      </c>
      <c r="BJ51">
        <v>0</v>
      </c>
      <c r="BK51">
        <v>0</v>
      </c>
      <c r="BL51">
        <v>5352310</v>
      </c>
      <c r="BM51">
        <v>3246187</v>
      </c>
      <c r="BN51">
        <v>379893</v>
      </c>
      <c r="BO51">
        <v>2070924</v>
      </c>
      <c r="BP51">
        <v>8319305</v>
      </c>
      <c r="BQ51">
        <v>50</v>
      </c>
      <c r="BR51">
        <v>399040</v>
      </c>
      <c r="BS51">
        <v>0</v>
      </c>
      <c r="BT51">
        <v>6099275</v>
      </c>
      <c r="BU51">
        <v>40050</v>
      </c>
      <c r="BV51">
        <v>34169</v>
      </c>
      <c r="BW51">
        <v>475231</v>
      </c>
      <c r="BX51">
        <v>0</v>
      </c>
      <c r="BY51">
        <v>168895</v>
      </c>
      <c r="BZ51">
        <v>0</v>
      </c>
      <c r="CA51">
        <v>0</v>
      </c>
      <c r="CB51">
        <v>4000</v>
      </c>
      <c r="CC51">
        <v>0</v>
      </c>
      <c r="CD51">
        <v>0</v>
      </c>
    </row>
    <row r="52" spans="1:82" x14ac:dyDescent="0.3">
      <c r="A52" s="155">
        <v>328</v>
      </c>
      <c r="B52" t="s">
        <v>304</v>
      </c>
      <c r="D52">
        <v>2443527</v>
      </c>
      <c r="E52">
        <v>208750</v>
      </c>
      <c r="F52">
        <v>0</v>
      </c>
      <c r="G52">
        <v>2066228</v>
      </c>
      <c r="H52">
        <v>0</v>
      </c>
      <c r="I52">
        <v>0</v>
      </c>
      <c r="J52">
        <v>0</v>
      </c>
      <c r="K52">
        <v>0</v>
      </c>
      <c r="L52">
        <v>330899</v>
      </c>
      <c r="M52">
        <v>0</v>
      </c>
      <c r="N52">
        <v>0</v>
      </c>
      <c r="O52">
        <v>0</v>
      </c>
      <c r="P52">
        <v>0</v>
      </c>
      <c r="Q52">
        <v>0</v>
      </c>
      <c r="R52">
        <v>0</v>
      </c>
      <c r="S52">
        <v>0</v>
      </c>
      <c r="T52">
        <v>1455705</v>
      </c>
      <c r="U52">
        <v>0</v>
      </c>
      <c r="V52">
        <v>0</v>
      </c>
      <c r="W52">
        <v>0</v>
      </c>
      <c r="X52">
        <v>461605</v>
      </c>
      <c r="Y52">
        <v>0</v>
      </c>
      <c r="Z52">
        <v>6458671</v>
      </c>
      <c r="AA52">
        <v>0</v>
      </c>
      <c r="AB52">
        <v>106813</v>
      </c>
      <c r="AC52">
        <v>0</v>
      </c>
      <c r="AD52">
        <v>0</v>
      </c>
      <c r="AE52">
        <v>0</v>
      </c>
      <c r="AF52">
        <v>21123295</v>
      </c>
      <c r="AG52">
        <v>0</v>
      </c>
      <c r="AH52">
        <v>0</v>
      </c>
      <c r="AI52">
        <v>3329073</v>
      </c>
      <c r="AJ52">
        <v>0</v>
      </c>
      <c r="AK52">
        <v>119273</v>
      </c>
      <c r="AL52">
        <v>10025280</v>
      </c>
      <c r="AM52">
        <v>239956</v>
      </c>
      <c r="AN52">
        <v>8284407</v>
      </c>
      <c r="AO52">
        <v>0</v>
      </c>
      <c r="AP52">
        <v>8716</v>
      </c>
      <c r="AQ52">
        <v>0</v>
      </c>
      <c r="AR52">
        <v>0</v>
      </c>
      <c r="AS52">
        <v>1173467</v>
      </c>
      <c r="AT52">
        <v>0</v>
      </c>
      <c r="AU52">
        <v>158260836</v>
      </c>
      <c r="AV52">
        <v>53967931</v>
      </c>
      <c r="AW52">
        <v>1002651</v>
      </c>
      <c r="AX52">
        <v>0</v>
      </c>
      <c r="AY52">
        <v>11627</v>
      </c>
      <c r="AZ52">
        <v>0</v>
      </c>
      <c r="BA52">
        <v>0</v>
      </c>
      <c r="BB52">
        <v>283800</v>
      </c>
      <c r="BC52">
        <v>0</v>
      </c>
      <c r="BD52">
        <v>0</v>
      </c>
      <c r="BE52">
        <v>0</v>
      </c>
      <c r="BF52">
        <v>621823</v>
      </c>
      <c r="BG52">
        <v>0</v>
      </c>
      <c r="BH52">
        <v>0</v>
      </c>
      <c r="BI52">
        <v>103232</v>
      </c>
      <c r="BJ52">
        <v>0</v>
      </c>
      <c r="BK52">
        <v>0</v>
      </c>
      <c r="BL52">
        <v>7011468</v>
      </c>
      <c r="BM52">
        <v>23628227</v>
      </c>
      <c r="BN52">
        <v>0</v>
      </c>
      <c r="BO52">
        <v>17866220</v>
      </c>
      <c r="BP52">
        <v>41530479</v>
      </c>
      <c r="BQ52">
        <v>188040</v>
      </c>
      <c r="BR52">
        <v>554492</v>
      </c>
      <c r="BS52">
        <v>0</v>
      </c>
      <c r="BT52">
        <v>3679727</v>
      </c>
      <c r="BU52">
        <v>178578</v>
      </c>
      <c r="BV52">
        <v>962223</v>
      </c>
      <c r="BW52">
        <v>0</v>
      </c>
      <c r="BX52">
        <v>0</v>
      </c>
      <c r="BY52">
        <v>8992153</v>
      </c>
      <c r="BZ52">
        <v>0</v>
      </c>
      <c r="CA52">
        <v>0</v>
      </c>
      <c r="CB52">
        <v>752170</v>
      </c>
      <c r="CC52">
        <v>0</v>
      </c>
      <c r="CD52">
        <v>0</v>
      </c>
    </row>
    <row r="53" spans="1:82" x14ac:dyDescent="0.3">
      <c r="A53" s="155">
        <v>331</v>
      </c>
      <c r="B53" t="s">
        <v>238</v>
      </c>
      <c r="D53">
        <v>23320</v>
      </c>
      <c r="E53">
        <v>70260</v>
      </c>
      <c r="F53">
        <v>0</v>
      </c>
      <c r="G53">
        <v>25086</v>
      </c>
      <c r="H53">
        <v>94945</v>
      </c>
      <c r="I53">
        <v>0</v>
      </c>
      <c r="J53">
        <v>0</v>
      </c>
      <c r="K53">
        <v>34000</v>
      </c>
      <c r="L53">
        <v>434340</v>
      </c>
      <c r="M53">
        <v>0</v>
      </c>
      <c r="N53">
        <v>0</v>
      </c>
      <c r="O53">
        <v>0</v>
      </c>
      <c r="P53">
        <v>0</v>
      </c>
      <c r="Q53">
        <v>24204</v>
      </c>
      <c r="R53">
        <v>0</v>
      </c>
      <c r="S53">
        <v>14063</v>
      </c>
      <c r="T53">
        <v>46474</v>
      </c>
      <c r="U53">
        <v>24654</v>
      </c>
      <c r="V53">
        <v>860826</v>
      </c>
      <c r="W53">
        <v>0</v>
      </c>
      <c r="X53">
        <v>13521</v>
      </c>
      <c r="Y53">
        <v>43520</v>
      </c>
      <c r="Z53">
        <v>2043917</v>
      </c>
      <c r="AA53">
        <v>0</v>
      </c>
      <c r="AB53">
        <v>12718</v>
      </c>
      <c r="AC53">
        <v>0</v>
      </c>
      <c r="AD53">
        <v>0</v>
      </c>
      <c r="AE53">
        <v>0</v>
      </c>
      <c r="AF53">
        <v>4206130</v>
      </c>
      <c r="AG53">
        <v>0</v>
      </c>
      <c r="AH53">
        <v>0</v>
      </c>
      <c r="AI53">
        <v>1019720</v>
      </c>
      <c r="AJ53">
        <v>0</v>
      </c>
      <c r="AK53">
        <v>0</v>
      </c>
      <c r="AL53">
        <v>2722622</v>
      </c>
      <c r="AM53">
        <v>53096</v>
      </c>
      <c r="AN53">
        <v>474341</v>
      </c>
      <c r="AO53">
        <v>0</v>
      </c>
      <c r="AP53">
        <v>168566</v>
      </c>
      <c r="AQ53">
        <v>0</v>
      </c>
      <c r="AR53">
        <v>0</v>
      </c>
      <c r="AS53">
        <v>202146</v>
      </c>
      <c r="AT53">
        <v>0</v>
      </c>
      <c r="AU53">
        <v>16023582</v>
      </c>
      <c r="AV53">
        <v>4220072</v>
      </c>
      <c r="AW53">
        <v>58182</v>
      </c>
      <c r="AX53">
        <v>14607</v>
      </c>
      <c r="AY53">
        <v>1836</v>
      </c>
      <c r="AZ53">
        <v>0</v>
      </c>
      <c r="BA53">
        <v>20000</v>
      </c>
      <c r="BB53">
        <v>0</v>
      </c>
      <c r="BC53">
        <v>4000</v>
      </c>
      <c r="BD53">
        <v>0</v>
      </c>
      <c r="BE53">
        <v>0</v>
      </c>
      <c r="BF53">
        <v>1786942</v>
      </c>
      <c r="BG53">
        <v>0</v>
      </c>
      <c r="BH53">
        <v>557928</v>
      </c>
      <c r="BI53">
        <v>31671</v>
      </c>
      <c r="BJ53">
        <v>0</v>
      </c>
      <c r="BK53">
        <v>0</v>
      </c>
      <c r="BL53">
        <v>1406208</v>
      </c>
      <c r="BM53">
        <v>2788722</v>
      </c>
      <c r="BN53">
        <v>419656</v>
      </c>
      <c r="BO53">
        <v>2344146</v>
      </c>
      <c r="BP53">
        <v>9348234</v>
      </c>
      <c r="BQ53">
        <v>0</v>
      </c>
      <c r="BR53">
        <v>93349</v>
      </c>
      <c r="BS53">
        <v>0</v>
      </c>
      <c r="BT53">
        <v>1418557</v>
      </c>
      <c r="BU53">
        <v>0</v>
      </c>
      <c r="BV53">
        <v>0</v>
      </c>
      <c r="BW53">
        <v>143983</v>
      </c>
      <c r="BX53">
        <v>0</v>
      </c>
      <c r="BY53">
        <v>3281671</v>
      </c>
      <c r="BZ53">
        <v>52358</v>
      </c>
      <c r="CA53">
        <v>0</v>
      </c>
      <c r="CB53">
        <v>5000</v>
      </c>
      <c r="CC53">
        <v>0</v>
      </c>
      <c r="CD53">
        <v>0</v>
      </c>
    </row>
    <row r="54" spans="1:82" x14ac:dyDescent="0.3">
      <c r="A54" s="155">
        <v>332</v>
      </c>
      <c r="B54" t="s">
        <v>239</v>
      </c>
      <c r="D54">
        <v>87887</v>
      </c>
      <c r="E54">
        <v>0</v>
      </c>
      <c r="F54">
        <v>0</v>
      </c>
      <c r="G54">
        <v>283896</v>
      </c>
      <c r="H54">
        <v>0</v>
      </c>
      <c r="I54">
        <v>0</v>
      </c>
      <c r="J54">
        <v>0</v>
      </c>
      <c r="K54">
        <v>0</v>
      </c>
      <c r="L54">
        <v>982045</v>
      </c>
      <c r="M54">
        <v>0</v>
      </c>
      <c r="N54">
        <v>0</v>
      </c>
      <c r="O54">
        <v>0</v>
      </c>
      <c r="P54">
        <v>496284</v>
      </c>
      <c r="Q54">
        <v>856411</v>
      </c>
      <c r="R54">
        <v>0</v>
      </c>
      <c r="S54">
        <v>0</v>
      </c>
      <c r="T54">
        <v>40129</v>
      </c>
      <c r="U54">
        <v>9311</v>
      </c>
      <c r="V54">
        <v>216772</v>
      </c>
      <c r="W54">
        <v>0</v>
      </c>
      <c r="X54">
        <v>17947</v>
      </c>
      <c r="Y54">
        <v>24764</v>
      </c>
      <c r="Z54">
        <v>3273276</v>
      </c>
      <c r="AA54">
        <v>0</v>
      </c>
      <c r="AB54">
        <v>88466</v>
      </c>
      <c r="AC54">
        <v>0</v>
      </c>
      <c r="AD54">
        <v>0</v>
      </c>
      <c r="AE54">
        <v>0</v>
      </c>
      <c r="AF54">
        <v>10828861</v>
      </c>
      <c r="AG54">
        <v>0</v>
      </c>
      <c r="AH54">
        <v>0</v>
      </c>
      <c r="AI54">
        <v>1458045</v>
      </c>
      <c r="AJ54">
        <v>0</v>
      </c>
      <c r="AK54">
        <v>13138</v>
      </c>
      <c r="AL54">
        <v>1524668</v>
      </c>
      <c r="AM54">
        <v>48293</v>
      </c>
      <c r="AN54">
        <v>4103265</v>
      </c>
      <c r="AO54">
        <v>0</v>
      </c>
      <c r="AP54">
        <v>300627</v>
      </c>
      <c r="AQ54">
        <v>0</v>
      </c>
      <c r="AR54">
        <v>0</v>
      </c>
      <c r="AS54">
        <v>53991</v>
      </c>
      <c r="AT54">
        <v>778116</v>
      </c>
      <c r="AU54">
        <v>58161369</v>
      </c>
      <c r="AV54">
        <v>34943087</v>
      </c>
      <c r="AW54">
        <v>715086</v>
      </c>
      <c r="AX54">
        <v>8305</v>
      </c>
      <c r="AY54">
        <v>51874</v>
      </c>
      <c r="AZ54">
        <v>0</v>
      </c>
      <c r="BA54">
        <v>10000</v>
      </c>
      <c r="BB54">
        <v>260981</v>
      </c>
      <c r="BC54">
        <v>0</v>
      </c>
      <c r="BD54">
        <v>0</v>
      </c>
      <c r="BE54">
        <v>0</v>
      </c>
      <c r="BF54">
        <v>2137807</v>
      </c>
      <c r="BG54">
        <v>0</v>
      </c>
      <c r="BH54">
        <v>690990</v>
      </c>
      <c r="BI54">
        <v>0</v>
      </c>
      <c r="BJ54">
        <v>0</v>
      </c>
      <c r="BK54">
        <v>0</v>
      </c>
      <c r="BL54">
        <v>3446538</v>
      </c>
      <c r="BM54">
        <v>8676278</v>
      </c>
      <c r="BN54">
        <v>0</v>
      </c>
      <c r="BO54">
        <v>7859246</v>
      </c>
      <c r="BP54">
        <v>17600736</v>
      </c>
      <c r="BQ54">
        <v>188040</v>
      </c>
      <c r="BR54">
        <v>1192623</v>
      </c>
      <c r="BS54">
        <v>0</v>
      </c>
      <c r="BT54">
        <v>2134182</v>
      </c>
      <c r="BU54">
        <v>168578</v>
      </c>
      <c r="BV54">
        <v>132543</v>
      </c>
      <c r="BW54">
        <v>46515</v>
      </c>
      <c r="BX54">
        <v>0</v>
      </c>
      <c r="BY54">
        <v>10504918</v>
      </c>
      <c r="BZ54">
        <v>547784</v>
      </c>
      <c r="CA54">
        <v>0</v>
      </c>
      <c r="CB54">
        <v>161292</v>
      </c>
      <c r="CC54">
        <v>0</v>
      </c>
      <c r="CD54">
        <v>0</v>
      </c>
    </row>
    <row r="55" spans="1:82" x14ac:dyDescent="0.3">
      <c r="A55" s="155">
        <v>333</v>
      </c>
      <c r="B55" t="s">
        <v>176</v>
      </c>
      <c r="D55">
        <v>668970</v>
      </c>
      <c r="E55">
        <v>806082</v>
      </c>
      <c r="F55">
        <v>471851</v>
      </c>
      <c r="G55">
        <v>1285251</v>
      </c>
      <c r="H55">
        <v>1186071</v>
      </c>
      <c r="I55">
        <v>164407</v>
      </c>
      <c r="J55">
        <v>105035</v>
      </c>
      <c r="K55">
        <v>394236</v>
      </c>
      <c r="L55">
        <v>2833099</v>
      </c>
      <c r="M55">
        <v>98028415</v>
      </c>
      <c r="N55">
        <v>3986675</v>
      </c>
      <c r="O55">
        <v>6417658</v>
      </c>
      <c r="P55">
        <v>143964</v>
      </c>
      <c r="Q55">
        <v>6853718</v>
      </c>
      <c r="R55">
        <v>164878</v>
      </c>
      <c r="S55">
        <v>605816</v>
      </c>
      <c r="T55">
        <v>2689609</v>
      </c>
      <c r="U55">
        <v>1963518</v>
      </c>
      <c r="V55">
        <v>5197761</v>
      </c>
      <c r="W55">
        <v>529535</v>
      </c>
      <c r="X55">
        <v>612042</v>
      </c>
      <c r="Y55">
        <v>257675</v>
      </c>
      <c r="Z55">
        <v>64756020</v>
      </c>
      <c r="AA55">
        <v>5915671</v>
      </c>
      <c r="AB55">
        <v>1214128</v>
      </c>
      <c r="AC55">
        <v>36695139</v>
      </c>
      <c r="AD55">
        <v>746759</v>
      </c>
      <c r="AE55">
        <v>858004</v>
      </c>
      <c r="AF55">
        <v>53831948</v>
      </c>
      <c r="AG55">
        <v>1058518</v>
      </c>
      <c r="AH55">
        <v>261634</v>
      </c>
      <c r="AI55">
        <v>2479619</v>
      </c>
      <c r="AJ55">
        <v>1492709</v>
      </c>
      <c r="AK55">
        <v>70106</v>
      </c>
      <c r="AL55">
        <v>17695531</v>
      </c>
      <c r="AM55">
        <v>604756</v>
      </c>
      <c r="AN55">
        <v>14854488</v>
      </c>
      <c r="AO55">
        <v>113540</v>
      </c>
      <c r="AP55">
        <v>5789017</v>
      </c>
      <c r="AQ55">
        <v>2177471</v>
      </c>
      <c r="AR55">
        <v>270157</v>
      </c>
      <c r="AS55">
        <v>1557100</v>
      </c>
      <c r="AT55">
        <v>1100774</v>
      </c>
      <c r="AU55">
        <v>155060239</v>
      </c>
      <c r="AV55">
        <v>56583927</v>
      </c>
      <c r="AW55">
        <v>1435458</v>
      </c>
      <c r="AX55">
        <v>185707</v>
      </c>
      <c r="AY55">
        <v>394425</v>
      </c>
      <c r="AZ55">
        <v>141694</v>
      </c>
      <c r="BA55">
        <v>808914</v>
      </c>
      <c r="BB55">
        <v>4082477</v>
      </c>
      <c r="BC55">
        <v>1308675</v>
      </c>
      <c r="BD55">
        <v>233790</v>
      </c>
      <c r="BE55">
        <v>181131</v>
      </c>
      <c r="BF55">
        <v>16168059</v>
      </c>
      <c r="BG55">
        <v>45196</v>
      </c>
      <c r="BH55">
        <v>14925724</v>
      </c>
      <c r="BI55">
        <v>978984</v>
      </c>
      <c r="BJ55">
        <v>524638</v>
      </c>
      <c r="BK55">
        <v>511778</v>
      </c>
      <c r="BL55">
        <v>11446748</v>
      </c>
      <c r="BM55">
        <v>6967572</v>
      </c>
      <c r="BN55">
        <v>1387662</v>
      </c>
      <c r="BO55">
        <v>44527785</v>
      </c>
      <c r="BP55">
        <v>61493440</v>
      </c>
      <c r="BQ55">
        <v>319910</v>
      </c>
      <c r="BR55">
        <v>6574881</v>
      </c>
      <c r="BS55">
        <v>2866608</v>
      </c>
      <c r="BT55">
        <v>12445221</v>
      </c>
      <c r="BU55">
        <v>265445</v>
      </c>
      <c r="BV55">
        <v>580906</v>
      </c>
      <c r="BW55">
        <v>6255517</v>
      </c>
      <c r="BX55">
        <v>2638443</v>
      </c>
      <c r="BY55">
        <v>45674526</v>
      </c>
      <c r="BZ55">
        <v>339692</v>
      </c>
      <c r="CA55">
        <v>12218810</v>
      </c>
      <c r="CB55">
        <v>804135</v>
      </c>
      <c r="CC55">
        <v>2576205</v>
      </c>
      <c r="CD55">
        <v>49883339</v>
      </c>
    </row>
    <row r="56" spans="1:82" x14ac:dyDescent="0.3">
      <c r="A56" s="155">
        <v>334</v>
      </c>
      <c r="B56" t="s">
        <v>261</v>
      </c>
      <c r="D56">
        <v>2445413</v>
      </c>
      <c r="E56">
        <v>4801223</v>
      </c>
      <c r="F56">
        <v>1669282</v>
      </c>
      <c r="G56">
        <v>1145284</v>
      </c>
      <c r="H56">
        <v>1447509</v>
      </c>
      <c r="I56">
        <v>693074</v>
      </c>
      <c r="J56">
        <v>149078</v>
      </c>
      <c r="K56">
        <v>112056</v>
      </c>
      <c r="L56">
        <v>16441513</v>
      </c>
      <c r="M56">
        <v>817832561</v>
      </c>
      <c r="N56">
        <v>3978235</v>
      </c>
      <c r="O56">
        <v>17999353</v>
      </c>
      <c r="P56">
        <v>76699</v>
      </c>
      <c r="Q56">
        <v>29330681</v>
      </c>
      <c r="R56">
        <v>269105</v>
      </c>
      <c r="S56">
        <v>861645</v>
      </c>
      <c r="T56">
        <v>3109299</v>
      </c>
      <c r="U56">
        <v>2081003</v>
      </c>
      <c r="V56">
        <v>10555652</v>
      </c>
      <c r="W56">
        <v>3644653</v>
      </c>
      <c r="X56">
        <v>1211830</v>
      </c>
      <c r="Y56">
        <v>2845239</v>
      </c>
      <c r="Z56">
        <v>173213996</v>
      </c>
      <c r="AA56">
        <v>1878896</v>
      </c>
      <c r="AB56">
        <v>776575</v>
      </c>
      <c r="AC56">
        <v>157994847</v>
      </c>
      <c r="AD56">
        <v>2072594</v>
      </c>
      <c r="AE56">
        <v>1041204</v>
      </c>
      <c r="AF56">
        <v>489243326</v>
      </c>
      <c r="AG56">
        <v>594862</v>
      </c>
      <c r="AH56">
        <v>381297</v>
      </c>
      <c r="AI56">
        <v>13005393</v>
      </c>
      <c r="AJ56">
        <v>1724534</v>
      </c>
      <c r="AK56">
        <v>672243</v>
      </c>
      <c r="AL56">
        <v>132491475</v>
      </c>
      <c r="AM56">
        <v>1106412</v>
      </c>
      <c r="AN56">
        <v>32124075</v>
      </c>
      <c r="AO56">
        <v>0</v>
      </c>
      <c r="AP56">
        <v>8401461</v>
      </c>
      <c r="AQ56">
        <v>5644219</v>
      </c>
      <c r="AR56">
        <v>300791</v>
      </c>
      <c r="AS56">
        <v>5528203</v>
      </c>
      <c r="AT56">
        <v>510519</v>
      </c>
      <c r="AU56">
        <v>888281442</v>
      </c>
      <c r="AV56">
        <v>248057042</v>
      </c>
      <c r="AW56">
        <v>8744461</v>
      </c>
      <c r="AX56">
        <v>833737</v>
      </c>
      <c r="AY56">
        <v>526642</v>
      </c>
      <c r="AZ56">
        <v>244775</v>
      </c>
      <c r="BA56">
        <v>598557</v>
      </c>
      <c r="BB56">
        <v>22919262</v>
      </c>
      <c r="BC56">
        <v>747441</v>
      </c>
      <c r="BD56">
        <v>443867</v>
      </c>
      <c r="BE56">
        <v>54824</v>
      </c>
      <c r="BF56">
        <v>51671933</v>
      </c>
      <c r="BG56">
        <v>86831</v>
      </c>
      <c r="BH56">
        <v>25045311</v>
      </c>
      <c r="BI56">
        <v>5813349</v>
      </c>
      <c r="BJ56">
        <v>1303804</v>
      </c>
      <c r="BK56">
        <v>274596</v>
      </c>
      <c r="BL56">
        <v>45726015</v>
      </c>
      <c r="BM56">
        <v>62333764</v>
      </c>
      <c r="BN56">
        <v>4406907</v>
      </c>
      <c r="BO56">
        <v>145079818</v>
      </c>
      <c r="BP56">
        <v>785944500</v>
      </c>
      <c r="BQ56">
        <v>1683568</v>
      </c>
      <c r="BR56">
        <v>30473288</v>
      </c>
      <c r="BS56">
        <v>4178938</v>
      </c>
      <c r="BT56">
        <v>28429474</v>
      </c>
      <c r="BU56">
        <v>2113840</v>
      </c>
      <c r="BV56">
        <v>1445251</v>
      </c>
      <c r="BW56">
        <v>11286355</v>
      </c>
      <c r="BX56">
        <v>2935768</v>
      </c>
      <c r="BY56">
        <v>172226617</v>
      </c>
      <c r="BZ56">
        <v>0</v>
      </c>
      <c r="CA56">
        <v>37869039</v>
      </c>
      <c r="CB56">
        <v>1243108</v>
      </c>
      <c r="CC56">
        <v>7323687</v>
      </c>
      <c r="CD56">
        <v>147318047</v>
      </c>
    </row>
    <row r="57" spans="1:82" x14ac:dyDescent="0.3">
      <c r="A57" s="155">
        <v>335</v>
      </c>
      <c r="B57" t="s">
        <v>109</v>
      </c>
      <c r="D57">
        <v>0</v>
      </c>
      <c r="E57">
        <v>0</v>
      </c>
      <c r="F57">
        <v>2299</v>
      </c>
      <c r="G57">
        <v>152338</v>
      </c>
      <c r="H57">
        <v>0</v>
      </c>
      <c r="I57">
        <v>0</v>
      </c>
      <c r="J57">
        <v>0</v>
      </c>
      <c r="K57">
        <v>89631</v>
      </c>
      <c r="L57">
        <v>0</v>
      </c>
      <c r="M57">
        <v>29723517</v>
      </c>
      <c r="N57">
        <v>224931</v>
      </c>
      <c r="O57">
        <v>1333589</v>
      </c>
      <c r="P57">
        <v>7725</v>
      </c>
      <c r="Q57">
        <v>1141256</v>
      </c>
      <c r="R57">
        <v>35250</v>
      </c>
      <c r="S57">
        <v>0</v>
      </c>
      <c r="T57">
        <v>1235792</v>
      </c>
      <c r="U57">
        <v>0</v>
      </c>
      <c r="V57">
        <v>0</v>
      </c>
      <c r="W57">
        <v>0</v>
      </c>
      <c r="X57">
        <v>0</v>
      </c>
      <c r="Y57">
        <v>0</v>
      </c>
      <c r="Z57">
        <v>5172943</v>
      </c>
      <c r="AA57">
        <v>0</v>
      </c>
      <c r="AB57">
        <v>0</v>
      </c>
      <c r="AC57">
        <v>5004665</v>
      </c>
      <c r="AD57">
        <v>0</v>
      </c>
      <c r="AE57">
        <v>162536</v>
      </c>
      <c r="AF57">
        <v>18486673</v>
      </c>
      <c r="AG57">
        <v>0</v>
      </c>
      <c r="AH57">
        <v>0</v>
      </c>
      <c r="AI57">
        <v>0</v>
      </c>
      <c r="AJ57">
        <v>0</v>
      </c>
      <c r="AK57">
        <v>22787</v>
      </c>
      <c r="AL57">
        <v>99944</v>
      </c>
      <c r="AM57">
        <v>0</v>
      </c>
      <c r="AN57">
        <v>0</v>
      </c>
      <c r="AO57">
        <v>0</v>
      </c>
      <c r="AP57">
        <v>0</v>
      </c>
      <c r="AQ57">
        <v>0</v>
      </c>
      <c r="AR57">
        <v>25838</v>
      </c>
      <c r="AS57">
        <v>0</v>
      </c>
      <c r="AT57">
        <v>0</v>
      </c>
      <c r="AU57">
        <v>60133346</v>
      </c>
      <c r="AV57">
        <v>0</v>
      </c>
      <c r="AW57">
        <v>427373</v>
      </c>
      <c r="AX57">
        <v>0</v>
      </c>
      <c r="AY57">
        <v>32184</v>
      </c>
      <c r="AZ57">
        <v>0</v>
      </c>
      <c r="BA57">
        <v>0</v>
      </c>
      <c r="BB57">
        <v>0</v>
      </c>
      <c r="BC57">
        <v>0</v>
      </c>
      <c r="BD57">
        <v>29892</v>
      </c>
      <c r="BE57">
        <v>0</v>
      </c>
      <c r="BF57">
        <v>43950</v>
      </c>
      <c r="BG57">
        <v>0</v>
      </c>
      <c r="BH57">
        <v>3614536</v>
      </c>
      <c r="BI57">
        <v>385546</v>
      </c>
      <c r="BJ57">
        <v>0</v>
      </c>
      <c r="BK57">
        <v>25301</v>
      </c>
      <c r="BL57">
        <v>0</v>
      </c>
      <c r="BM57">
        <v>2258259</v>
      </c>
      <c r="BN57">
        <v>0</v>
      </c>
      <c r="BO57">
        <v>0</v>
      </c>
      <c r="BP57">
        <v>0</v>
      </c>
      <c r="BQ57">
        <v>0</v>
      </c>
      <c r="BR57">
        <v>0</v>
      </c>
      <c r="BS57">
        <v>0</v>
      </c>
      <c r="BT57">
        <v>0</v>
      </c>
      <c r="BU57">
        <v>0</v>
      </c>
      <c r="BV57">
        <v>0</v>
      </c>
      <c r="BW57">
        <v>0</v>
      </c>
      <c r="BX57">
        <v>450479</v>
      </c>
      <c r="BY57">
        <v>0</v>
      </c>
      <c r="BZ57">
        <v>0</v>
      </c>
      <c r="CA57">
        <v>0</v>
      </c>
      <c r="CB57">
        <v>0</v>
      </c>
      <c r="CC57">
        <v>0</v>
      </c>
      <c r="CD57">
        <v>323306</v>
      </c>
    </row>
    <row r="58" spans="1:82" x14ac:dyDescent="0.3">
      <c r="A58" s="155">
        <v>336</v>
      </c>
      <c r="B58" t="s">
        <v>882</v>
      </c>
      <c r="D58">
        <v>337266</v>
      </c>
      <c r="E58">
        <v>50755</v>
      </c>
      <c r="F58">
        <v>90221</v>
      </c>
      <c r="G58">
        <v>213183</v>
      </c>
      <c r="H58">
        <v>132180</v>
      </c>
      <c r="I58">
        <v>3400</v>
      </c>
      <c r="J58">
        <v>965</v>
      </c>
      <c r="K58">
        <v>79</v>
      </c>
      <c r="L58">
        <v>958610</v>
      </c>
      <c r="M58">
        <v>66762124</v>
      </c>
      <c r="N58">
        <v>55738</v>
      </c>
      <c r="O58">
        <v>2000079</v>
      </c>
      <c r="P58">
        <v>10690</v>
      </c>
      <c r="Q58">
        <v>6831521</v>
      </c>
      <c r="R58">
        <v>37250</v>
      </c>
      <c r="S58">
        <v>84115</v>
      </c>
      <c r="T58">
        <v>1368969</v>
      </c>
      <c r="U58">
        <v>35383</v>
      </c>
      <c r="V58">
        <v>1033886</v>
      </c>
      <c r="W58">
        <v>243292</v>
      </c>
      <c r="X58">
        <v>18454</v>
      </c>
      <c r="Y58">
        <v>109355</v>
      </c>
      <c r="Z58">
        <v>11182074</v>
      </c>
      <c r="AA58">
        <v>639640</v>
      </c>
      <c r="AB58">
        <v>125098</v>
      </c>
      <c r="AC58">
        <v>8809496</v>
      </c>
      <c r="AD58">
        <v>853269</v>
      </c>
      <c r="AE58">
        <v>187986</v>
      </c>
      <c r="AF58">
        <v>35248534</v>
      </c>
      <c r="AG58">
        <v>9281</v>
      </c>
      <c r="AH58">
        <v>3695</v>
      </c>
      <c r="AI58">
        <v>520684</v>
      </c>
      <c r="AJ58">
        <v>48515</v>
      </c>
      <c r="AK58">
        <v>3450</v>
      </c>
      <c r="AL58">
        <v>7786964</v>
      </c>
      <c r="AM58">
        <v>0</v>
      </c>
      <c r="AN58">
        <v>3023028</v>
      </c>
      <c r="AO58">
        <v>7806</v>
      </c>
      <c r="AP58">
        <v>454273</v>
      </c>
      <c r="AQ58">
        <v>125347</v>
      </c>
      <c r="AR58">
        <v>968</v>
      </c>
      <c r="AS58">
        <v>110231</v>
      </c>
      <c r="AT58">
        <v>169325</v>
      </c>
      <c r="AU58">
        <v>145194223</v>
      </c>
      <c r="AV58">
        <v>24035159</v>
      </c>
      <c r="AW58">
        <v>620266</v>
      </c>
      <c r="AX58">
        <v>24572</v>
      </c>
      <c r="AY58">
        <v>7825</v>
      </c>
      <c r="AZ58">
        <v>11313</v>
      </c>
      <c r="BA58">
        <v>6955</v>
      </c>
      <c r="BB58">
        <v>913679</v>
      </c>
      <c r="BC58">
        <v>8042</v>
      </c>
      <c r="BD58">
        <v>6100</v>
      </c>
      <c r="BE58">
        <v>2935</v>
      </c>
      <c r="BF58">
        <v>1869321</v>
      </c>
      <c r="BG58">
        <v>0</v>
      </c>
      <c r="BH58">
        <v>4837097</v>
      </c>
      <c r="BI58">
        <v>573209</v>
      </c>
      <c r="BJ58">
        <v>14592</v>
      </c>
      <c r="BK58">
        <v>25810</v>
      </c>
      <c r="BL58">
        <v>3091974</v>
      </c>
      <c r="BM58">
        <v>3642744</v>
      </c>
      <c r="BN58">
        <v>554825</v>
      </c>
      <c r="BO58">
        <v>12149124</v>
      </c>
      <c r="BP58">
        <v>33133108</v>
      </c>
      <c r="BQ58">
        <v>13007</v>
      </c>
      <c r="BR58">
        <v>1721602</v>
      </c>
      <c r="BS58">
        <v>49041</v>
      </c>
      <c r="BT58">
        <v>1127434</v>
      </c>
      <c r="BU58">
        <v>7206</v>
      </c>
      <c r="BV58">
        <v>6862</v>
      </c>
      <c r="BW58">
        <v>29958065</v>
      </c>
      <c r="BX58">
        <v>608047</v>
      </c>
      <c r="BY58">
        <v>14315270</v>
      </c>
      <c r="BZ58">
        <v>201804</v>
      </c>
      <c r="CA58">
        <v>24056542</v>
      </c>
      <c r="CB58">
        <v>109188</v>
      </c>
      <c r="CC58">
        <v>902436</v>
      </c>
      <c r="CD58">
        <v>15847939</v>
      </c>
    </row>
    <row r="59" spans="1:82" x14ac:dyDescent="0.3">
      <c r="A59" s="155">
        <v>337</v>
      </c>
      <c r="B59" t="s">
        <v>245</v>
      </c>
      <c r="D59">
        <v>115861</v>
      </c>
      <c r="E59">
        <v>127310</v>
      </c>
      <c r="F59">
        <v>480000</v>
      </c>
      <c r="G59">
        <v>0</v>
      </c>
      <c r="H59">
        <v>0</v>
      </c>
      <c r="I59">
        <v>0</v>
      </c>
      <c r="J59">
        <v>0</v>
      </c>
      <c r="K59">
        <v>0</v>
      </c>
      <c r="L59">
        <v>4801634</v>
      </c>
      <c r="M59">
        <v>111865739</v>
      </c>
      <c r="N59">
        <v>0</v>
      </c>
      <c r="O59">
        <v>7752244</v>
      </c>
      <c r="P59">
        <v>0</v>
      </c>
      <c r="Q59">
        <v>959431</v>
      </c>
      <c r="R59">
        <v>0</v>
      </c>
      <c r="S59">
        <v>152258</v>
      </c>
      <c r="T59">
        <v>706078</v>
      </c>
      <c r="U59">
        <v>0</v>
      </c>
      <c r="V59">
        <v>672959</v>
      </c>
      <c r="W59">
        <v>418908</v>
      </c>
      <c r="X59">
        <v>83713</v>
      </c>
      <c r="Y59">
        <v>386603</v>
      </c>
      <c r="Z59">
        <v>36463454</v>
      </c>
      <c r="AA59">
        <v>0</v>
      </c>
      <c r="AB59">
        <v>0</v>
      </c>
      <c r="AC59">
        <v>39380770</v>
      </c>
      <c r="AD59">
        <v>0</v>
      </c>
      <c r="AE59">
        <v>107894</v>
      </c>
      <c r="AF59">
        <v>60145970</v>
      </c>
      <c r="AG59">
        <v>0</v>
      </c>
      <c r="AH59">
        <v>0</v>
      </c>
      <c r="AI59">
        <v>2216143</v>
      </c>
      <c r="AJ59">
        <v>0</v>
      </c>
      <c r="AK59">
        <v>0</v>
      </c>
      <c r="AL59">
        <v>28326396</v>
      </c>
      <c r="AM59">
        <v>0</v>
      </c>
      <c r="AN59">
        <v>0</v>
      </c>
      <c r="AO59">
        <v>0</v>
      </c>
      <c r="AP59">
        <v>5600</v>
      </c>
      <c r="AQ59">
        <v>300000</v>
      </c>
      <c r="AR59">
        <v>0</v>
      </c>
      <c r="AS59">
        <v>1648897</v>
      </c>
      <c r="AT59">
        <v>0</v>
      </c>
      <c r="AU59">
        <v>363582033</v>
      </c>
      <c r="AV59">
        <v>42693905</v>
      </c>
      <c r="AW59">
        <v>1127310</v>
      </c>
      <c r="AX59">
        <v>10939</v>
      </c>
      <c r="AY59">
        <v>0</v>
      </c>
      <c r="AZ59">
        <v>8300</v>
      </c>
      <c r="BA59">
        <v>0</v>
      </c>
      <c r="BB59">
        <v>0</v>
      </c>
      <c r="BC59">
        <v>0</v>
      </c>
      <c r="BD59">
        <v>5133</v>
      </c>
      <c r="BE59">
        <v>259834</v>
      </c>
      <c r="BF59">
        <v>17418050</v>
      </c>
      <c r="BG59">
        <v>0</v>
      </c>
      <c r="BH59">
        <v>5589829</v>
      </c>
      <c r="BI59">
        <v>758698</v>
      </c>
      <c r="BJ59">
        <v>0</v>
      </c>
      <c r="BK59">
        <v>0</v>
      </c>
      <c r="BL59">
        <v>3386442</v>
      </c>
      <c r="BM59">
        <v>21754502</v>
      </c>
      <c r="BN59">
        <v>562823</v>
      </c>
      <c r="BO59">
        <v>49899887</v>
      </c>
      <c r="BP59">
        <v>135918525</v>
      </c>
      <c r="BQ59">
        <v>9725</v>
      </c>
      <c r="BR59">
        <v>11755000</v>
      </c>
      <c r="BS59">
        <v>0</v>
      </c>
      <c r="BT59">
        <v>2726070</v>
      </c>
      <c r="BU59">
        <v>36799</v>
      </c>
      <c r="BV59">
        <v>0</v>
      </c>
      <c r="BW59">
        <v>38704924</v>
      </c>
      <c r="BX59">
        <v>0</v>
      </c>
      <c r="BY59">
        <v>84320099</v>
      </c>
      <c r="BZ59">
        <v>0</v>
      </c>
      <c r="CA59">
        <v>17824051</v>
      </c>
      <c r="CB59">
        <v>126634</v>
      </c>
      <c r="CC59">
        <v>0</v>
      </c>
      <c r="CD59">
        <v>41109032</v>
      </c>
    </row>
    <row r="60" spans="1:82" x14ac:dyDescent="0.3">
      <c r="A60" s="155">
        <v>338</v>
      </c>
      <c r="B60" t="s">
        <v>108</v>
      </c>
      <c r="D60">
        <v>3697979</v>
      </c>
      <c r="E60">
        <v>2967718</v>
      </c>
      <c r="F60">
        <v>532561</v>
      </c>
      <c r="G60">
        <v>590546</v>
      </c>
      <c r="H60">
        <v>307342</v>
      </c>
      <c r="I60">
        <v>21347</v>
      </c>
      <c r="J60">
        <v>965</v>
      </c>
      <c r="K60">
        <v>89710</v>
      </c>
      <c r="L60">
        <v>10649780</v>
      </c>
      <c r="M60">
        <v>316430164</v>
      </c>
      <c r="N60">
        <v>380329</v>
      </c>
      <c r="O60">
        <v>11108412</v>
      </c>
      <c r="P60">
        <v>10690</v>
      </c>
      <c r="Q60">
        <v>24231640</v>
      </c>
      <c r="R60">
        <v>37250</v>
      </c>
      <c r="S60">
        <v>227939</v>
      </c>
      <c r="T60">
        <v>2592045</v>
      </c>
      <c r="U60">
        <v>272827</v>
      </c>
      <c r="V60">
        <v>5570084</v>
      </c>
      <c r="W60">
        <v>1510982</v>
      </c>
      <c r="X60">
        <v>253795</v>
      </c>
      <c r="Y60">
        <v>1378454</v>
      </c>
      <c r="Z60">
        <v>61279892</v>
      </c>
      <c r="AA60">
        <v>639640</v>
      </c>
      <c r="AB60">
        <v>164547</v>
      </c>
      <c r="AC60">
        <v>82039700</v>
      </c>
      <c r="AD60">
        <v>1014765</v>
      </c>
      <c r="AE60">
        <v>456835</v>
      </c>
      <c r="AF60">
        <v>204321431</v>
      </c>
      <c r="AG60">
        <v>9335</v>
      </c>
      <c r="AH60">
        <v>103057</v>
      </c>
      <c r="AI60">
        <v>5732704</v>
      </c>
      <c r="AJ60">
        <v>311441</v>
      </c>
      <c r="AK60">
        <v>26237</v>
      </c>
      <c r="AL60">
        <v>58737736</v>
      </c>
      <c r="AM60">
        <v>35849</v>
      </c>
      <c r="AN60">
        <v>23287782</v>
      </c>
      <c r="AO60">
        <v>7806</v>
      </c>
      <c r="AP60">
        <v>2303777</v>
      </c>
      <c r="AQ60">
        <v>1128715</v>
      </c>
      <c r="AR60">
        <v>26806</v>
      </c>
      <c r="AS60">
        <v>1812315</v>
      </c>
      <c r="AT60">
        <v>466385</v>
      </c>
      <c r="AU60">
        <v>730924854</v>
      </c>
      <c r="AV60">
        <v>197030845</v>
      </c>
      <c r="AW60">
        <v>2105964</v>
      </c>
      <c r="AX60">
        <v>86123</v>
      </c>
      <c r="AY60">
        <v>76353</v>
      </c>
      <c r="AZ60">
        <v>17537</v>
      </c>
      <c r="BA60">
        <v>44563</v>
      </c>
      <c r="BB60">
        <v>11356379</v>
      </c>
      <c r="BC60">
        <v>8042</v>
      </c>
      <c r="BD60">
        <v>38902</v>
      </c>
      <c r="BE60">
        <v>2935</v>
      </c>
      <c r="BF60">
        <v>23578648</v>
      </c>
      <c r="BG60">
        <v>0</v>
      </c>
      <c r="BH60">
        <v>17884284</v>
      </c>
      <c r="BI60">
        <v>8384824</v>
      </c>
      <c r="BJ60">
        <v>86472</v>
      </c>
      <c r="BK60">
        <v>25810</v>
      </c>
      <c r="BL60">
        <v>24067077</v>
      </c>
      <c r="BM60">
        <v>35290459</v>
      </c>
      <c r="BN60">
        <v>1321470</v>
      </c>
      <c r="BO60">
        <v>112716794</v>
      </c>
      <c r="BP60">
        <v>245295495</v>
      </c>
      <c r="BQ60">
        <v>112176</v>
      </c>
      <c r="BR60">
        <v>23387025</v>
      </c>
      <c r="BS60">
        <v>461812</v>
      </c>
      <c r="BT60">
        <v>9245837</v>
      </c>
      <c r="BU60">
        <v>354229</v>
      </c>
      <c r="BV60">
        <v>98009</v>
      </c>
      <c r="BW60">
        <v>40282509</v>
      </c>
      <c r="BX60">
        <v>2369785</v>
      </c>
      <c r="BY60">
        <v>114202847</v>
      </c>
      <c r="BZ60">
        <v>247337</v>
      </c>
      <c r="CA60">
        <v>44948815</v>
      </c>
      <c r="CB60">
        <v>228107</v>
      </c>
      <c r="CC60">
        <v>2800663</v>
      </c>
      <c r="CD60">
        <v>73609524</v>
      </c>
    </row>
    <row r="61" spans="1:82" x14ac:dyDescent="0.3">
      <c r="A61" s="155">
        <v>339</v>
      </c>
      <c r="B61" t="s">
        <v>181</v>
      </c>
      <c r="D61">
        <v>94911</v>
      </c>
      <c r="E61">
        <v>235157</v>
      </c>
      <c r="F61">
        <v>36555</v>
      </c>
      <c r="G61">
        <v>159174</v>
      </c>
      <c r="H61">
        <v>19496</v>
      </c>
      <c r="I61">
        <v>12263</v>
      </c>
      <c r="J61">
        <v>2875</v>
      </c>
      <c r="K61">
        <v>0</v>
      </c>
      <c r="L61">
        <v>1649540</v>
      </c>
      <c r="M61">
        <v>12884323</v>
      </c>
      <c r="N61">
        <v>5075</v>
      </c>
      <c r="O61">
        <v>143486</v>
      </c>
      <c r="P61">
        <v>144000</v>
      </c>
      <c r="Q61">
        <v>1877096</v>
      </c>
      <c r="R61">
        <v>0</v>
      </c>
      <c r="S61">
        <v>42920</v>
      </c>
      <c r="T61">
        <v>562605</v>
      </c>
      <c r="U61">
        <v>50370</v>
      </c>
      <c r="V61">
        <v>54986</v>
      </c>
      <c r="W61">
        <v>513768</v>
      </c>
      <c r="X61">
        <v>106216</v>
      </c>
      <c r="Y61">
        <v>170730</v>
      </c>
      <c r="Z61">
        <v>9199488</v>
      </c>
      <c r="AA61">
        <v>350</v>
      </c>
      <c r="AB61">
        <v>142447</v>
      </c>
      <c r="AC61">
        <v>6077976</v>
      </c>
      <c r="AD61">
        <v>10350</v>
      </c>
      <c r="AE61">
        <v>10211</v>
      </c>
      <c r="AF61">
        <v>14736546</v>
      </c>
      <c r="AG61">
        <v>5890</v>
      </c>
      <c r="AH61">
        <v>56013</v>
      </c>
      <c r="AI61">
        <v>565539</v>
      </c>
      <c r="AJ61">
        <v>46555</v>
      </c>
      <c r="AK61">
        <v>0</v>
      </c>
      <c r="AL61">
        <v>6101155</v>
      </c>
      <c r="AM61">
        <v>33065</v>
      </c>
      <c r="AN61">
        <v>1735075</v>
      </c>
      <c r="AO61">
        <v>9500</v>
      </c>
      <c r="AP61">
        <v>511881</v>
      </c>
      <c r="AQ61">
        <v>174209</v>
      </c>
      <c r="AR61">
        <v>325</v>
      </c>
      <c r="AS61">
        <v>47574</v>
      </c>
      <c r="AT61">
        <v>3740</v>
      </c>
      <c r="AU61">
        <v>35553560</v>
      </c>
      <c r="AV61">
        <v>13153950</v>
      </c>
      <c r="AW61">
        <v>164386</v>
      </c>
      <c r="AX61">
        <v>47867</v>
      </c>
      <c r="AY61">
        <v>55101</v>
      </c>
      <c r="AZ61">
        <v>27258</v>
      </c>
      <c r="BA61">
        <v>1300</v>
      </c>
      <c r="BB61">
        <v>999687</v>
      </c>
      <c r="BC61">
        <v>15150</v>
      </c>
      <c r="BD61">
        <v>13687</v>
      </c>
      <c r="BE61">
        <v>9198</v>
      </c>
      <c r="BF61">
        <v>1442454</v>
      </c>
      <c r="BG61">
        <v>0</v>
      </c>
      <c r="BH61">
        <v>1605523</v>
      </c>
      <c r="BI61">
        <v>139101</v>
      </c>
      <c r="BJ61">
        <v>2460</v>
      </c>
      <c r="BK61">
        <v>12070</v>
      </c>
      <c r="BL61">
        <v>3821447</v>
      </c>
      <c r="BM61">
        <v>423314</v>
      </c>
      <c r="BN61">
        <v>131695</v>
      </c>
      <c r="BO61">
        <v>10414468</v>
      </c>
      <c r="BP61">
        <v>32710442</v>
      </c>
      <c r="BQ61">
        <v>52439</v>
      </c>
      <c r="BR61">
        <v>1565221</v>
      </c>
      <c r="BS61">
        <v>35088</v>
      </c>
      <c r="BT61">
        <v>65563</v>
      </c>
      <c r="BU61">
        <v>33481</v>
      </c>
      <c r="BV61">
        <v>8933</v>
      </c>
      <c r="BW61">
        <v>633211</v>
      </c>
      <c r="BX61">
        <v>795119</v>
      </c>
      <c r="BY61">
        <v>10482158</v>
      </c>
      <c r="BZ61">
        <v>107365</v>
      </c>
      <c r="CA61">
        <v>2059354</v>
      </c>
      <c r="CB61">
        <v>1545</v>
      </c>
      <c r="CC61">
        <v>584290</v>
      </c>
      <c r="CD61">
        <v>3047583</v>
      </c>
    </row>
    <row r="62" spans="1:82" x14ac:dyDescent="0.3">
      <c r="A62" s="155">
        <v>341</v>
      </c>
      <c r="B62" t="s">
        <v>883</v>
      </c>
      <c r="D62">
        <v>637985</v>
      </c>
      <c r="E62">
        <v>1879670</v>
      </c>
      <c r="F62">
        <v>316463</v>
      </c>
      <c r="G62">
        <v>831442</v>
      </c>
      <c r="H62">
        <v>722272</v>
      </c>
      <c r="I62">
        <v>164772</v>
      </c>
      <c r="J62">
        <v>42375</v>
      </c>
      <c r="K62">
        <v>74421</v>
      </c>
      <c r="L62">
        <v>3938446</v>
      </c>
      <c r="M62">
        <v>160605334</v>
      </c>
      <c r="N62">
        <v>2244967</v>
      </c>
      <c r="O62">
        <v>8238517</v>
      </c>
      <c r="P62">
        <v>10898</v>
      </c>
      <c r="Q62">
        <v>8743911</v>
      </c>
      <c r="R62">
        <v>90027</v>
      </c>
      <c r="S62">
        <v>312252</v>
      </c>
      <c r="T62">
        <v>1837754</v>
      </c>
      <c r="U62">
        <v>1292062</v>
      </c>
      <c r="V62">
        <v>5318857</v>
      </c>
      <c r="W62">
        <v>2180439</v>
      </c>
      <c r="X62">
        <v>729436</v>
      </c>
      <c r="Y62">
        <v>853640</v>
      </c>
      <c r="Z62">
        <v>35402787</v>
      </c>
      <c r="AA62">
        <v>1312619</v>
      </c>
      <c r="AB62">
        <v>532537</v>
      </c>
      <c r="AC62">
        <v>39103465</v>
      </c>
      <c r="AD62">
        <v>978637</v>
      </c>
      <c r="AE62">
        <v>660041</v>
      </c>
      <c r="AF62">
        <v>66803567</v>
      </c>
      <c r="AG62">
        <v>243283</v>
      </c>
      <c r="AH62">
        <v>233150</v>
      </c>
      <c r="AI62">
        <v>6679067</v>
      </c>
      <c r="AJ62">
        <v>933575</v>
      </c>
      <c r="AK62">
        <v>91477</v>
      </c>
      <c r="AL62">
        <v>35531009</v>
      </c>
      <c r="AM62">
        <v>196742</v>
      </c>
      <c r="AN62">
        <v>13440129</v>
      </c>
      <c r="AO62">
        <v>77657</v>
      </c>
      <c r="AP62">
        <v>4403313</v>
      </c>
      <c r="AQ62">
        <v>2384045</v>
      </c>
      <c r="AR62">
        <v>74634</v>
      </c>
      <c r="AS62">
        <v>1581365</v>
      </c>
      <c r="AT62">
        <v>292489</v>
      </c>
      <c r="AU62">
        <v>302940789</v>
      </c>
      <c r="AV62">
        <v>77177573</v>
      </c>
      <c r="AW62">
        <v>1760903</v>
      </c>
      <c r="AX62">
        <v>325636</v>
      </c>
      <c r="AY62">
        <v>357470</v>
      </c>
      <c r="AZ62">
        <v>171854</v>
      </c>
      <c r="BA62">
        <v>418350</v>
      </c>
      <c r="BB62">
        <v>4816976</v>
      </c>
      <c r="BC62">
        <v>278873</v>
      </c>
      <c r="BD62">
        <v>105382</v>
      </c>
      <c r="BE62">
        <v>55906</v>
      </c>
      <c r="BF62">
        <v>15406437</v>
      </c>
      <c r="BG62">
        <v>26884</v>
      </c>
      <c r="BH62">
        <v>9679704</v>
      </c>
      <c r="BI62">
        <v>2297524</v>
      </c>
      <c r="BJ62">
        <v>218513</v>
      </c>
      <c r="BK62">
        <v>70290</v>
      </c>
      <c r="BL62">
        <v>12409080</v>
      </c>
      <c r="BM62">
        <v>19139836</v>
      </c>
      <c r="BN62">
        <v>1782268</v>
      </c>
      <c r="BO62">
        <v>55266310</v>
      </c>
      <c r="BP62">
        <v>108469760</v>
      </c>
      <c r="BQ62">
        <v>303289</v>
      </c>
      <c r="BR62">
        <v>4892380</v>
      </c>
      <c r="BS62">
        <v>1058072</v>
      </c>
      <c r="BT62">
        <v>13337537</v>
      </c>
      <c r="BU62">
        <v>135479</v>
      </c>
      <c r="BV62">
        <v>92808</v>
      </c>
      <c r="BW62">
        <v>7789278</v>
      </c>
      <c r="BX62">
        <v>3281732</v>
      </c>
      <c r="BY62">
        <v>48590322</v>
      </c>
      <c r="BZ62">
        <v>183259</v>
      </c>
      <c r="CA62">
        <v>13652130</v>
      </c>
      <c r="CB62">
        <v>655119</v>
      </c>
      <c r="CC62">
        <v>2938085</v>
      </c>
      <c r="CD62">
        <v>52672777</v>
      </c>
    </row>
    <row r="63" spans="1:82" x14ac:dyDescent="0.3">
      <c r="A63" s="155">
        <v>343</v>
      </c>
      <c r="B63" t="s">
        <v>246</v>
      </c>
      <c r="D63">
        <v>584139</v>
      </c>
      <c r="E63">
        <v>79535</v>
      </c>
      <c r="F63">
        <v>40000</v>
      </c>
      <c r="G63">
        <v>0</v>
      </c>
      <c r="H63">
        <v>26463</v>
      </c>
      <c r="I63">
        <v>0</v>
      </c>
      <c r="J63">
        <v>0</v>
      </c>
      <c r="K63">
        <v>0</v>
      </c>
      <c r="L63">
        <v>367739</v>
      </c>
      <c r="M63">
        <v>10881109</v>
      </c>
      <c r="N63">
        <v>0</v>
      </c>
      <c r="O63">
        <v>438163</v>
      </c>
      <c r="P63">
        <v>0</v>
      </c>
      <c r="Q63">
        <v>258998</v>
      </c>
      <c r="R63">
        <v>0</v>
      </c>
      <c r="S63">
        <v>9087</v>
      </c>
      <c r="T63">
        <v>0</v>
      </c>
      <c r="U63">
        <v>0</v>
      </c>
      <c r="V63">
        <v>192221</v>
      </c>
      <c r="W63">
        <v>210184</v>
      </c>
      <c r="X63">
        <v>14533</v>
      </c>
      <c r="Y63">
        <v>34278</v>
      </c>
      <c r="Z63">
        <v>2595321</v>
      </c>
      <c r="AA63">
        <v>0</v>
      </c>
      <c r="AB63">
        <v>0</v>
      </c>
      <c r="AC63">
        <v>2852558</v>
      </c>
      <c r="AD63">
        <v>0</v>
      </c>
      <c r="AE63">
        <v>11391</v>
      </c>
      <c r="AF63">
        <v>7767493</v>
      </c>
      <c r="AG63">
        <v>0</v>
      </c>
      <c r="AH63">
        <v>0</v>
      </c>
      <c r="AI63">
        <v>109282</v>
      </c>
      <c r="AJ63">
        <v>0</v>
      </c>
      <c r="AK63">
        <v>0</v>
      </c>
      <c r="AL63">
        <v>4043687</v>
      </c>
      <c r="AM63">
        <v>0</v>
      </c>
      <c r="AN63">
        <v>0</v>
      </c>
      <c r="AO63">
        <v>0</v>
      </c>
      <c r="AP63">
        <v>2841</v>
      </c>
      <c r="AQ63">
        <v>100000</v>
      </c>
      <c r="AR63">
        <v>0</v>
      </c>
      <c r="AS63">
        <v>33024</v>
      </c>
      <c r="AT63">
        <v>0</v>
      </c>
      <c r="AU63">
        <v>32909403</v>
      </c>
      <c r="AV63">
        <v>4241097</v>
      </c>
      <c r="AW63">
        <v>117991</v>
      </c>
      <c r="AX63">
        <v>3816</v>
      </c>
      <c r="AY63">
        <v>0</v>
      </c>
      <c r="AZ63">
        <v>2075</v>
      </c>
      <c r="BA63">
        <v>0</v>
      </c>
      <c r="BB63">
        <v>0</v>
      </c>
      <c r="BC63">
        <v>0</v>
      </c>
      <c r="BD63">
        <v>2128</v>
      </c>
      <c r="BE63">
        <v>19374</v>
      </c>
      <c r="BF63">
        <v>1289980</v>
      </c>
      <c r="BG63">
        <v>0</v>
      </c>
      <c r="BH63">
        <v>222557</v>
      </c>
      <c r="BI63">
        <v>97367</v>
      </c>
      <c r="BJ63">
        <v>0</v>
      </c>
      <c r="BK63">
        <v>0</v>
      </c>
      <c r="BL63">
        <v>567160</v>
      </c>
      <c r="BM63">
        <v>14641460</v>
      </c>
      <c r="BN63">
        <v>45050</v>
      </c>
      <c r="BO63">
        <v>9973001</v>
      </c>
      <c r="BP63">
        <v>16404569</v>
      </c>
      <c r="BQ63">
        <v>3242</v>
      </c>
      <c r="BR63">
        <v>731666</v>
      </c>
      <c r="BS63">
        <v>0</v>
      </c>
      <c r="BT63">
        <v>631492</v>
      </c>
      <c r="BU63">
        <v>3748</v>
      </c>
      <c r="BV63">
        <v>0</v>
      </c>
      <c r="BW63">
        <v>1405474</v>
      </c>
      <c r="BX63">
        <v>0</v>
      </c>
      <c r="BY63">
        <v>9500842</v>
      </c>
      <c r="BZ63">
        <v>7724</v>
      </c>
      <c r="CA63">
        <v>884807</v>
      </c>
      <c r="CB63">
        <v>18879</v>
      </c>
      <c r="CC63">
        <v>0</v>
      </c>
      <c r="CD63">
        <v>3358273</v>
      </c>
    </row>
    <row r="64" spans="1:82" x14ac:dyDescent="0.3">
      <c r="A64" s="155">
        <v>344</v>
      </c>
      <c r="B64" t="s">
        <v>179</v>
      </c>
      <c r="D64">
        <v>0</v>
      </c>
      <c r="E64">
        <v>1278</v>
      </c>
      <c r="F64">
        <v>19506</v>
      </c>
      <c r="G64">
        <v>0</v>
      </c>
      <c r="H64">
        <v>1129</v>
      </c>
      <c r="I64">
        <v>0</v>
      </c>
      <c r="J64">
        <v>0</v>
      </c>
      <c r="K64">
        <v>0</v>
      </c>
      <c r="L64">
        <v>132003</v>
      </c>
      <c r="M64">
        <v>3260018</v>
      </c>
      <c r="N64">
        <v>0</v>
      </c>
      <c r="O64">
        <v>290987</v>
      </c>
      <c r="P64">
        <v>0</v>
      </c>
      <c r="Q64">
        <v>25651</v>
      </c>
      <c r="R64">
        <v>0</v>
      </c>
      <c r="S64">
        <v>5691</v>
      </c>
      <c r="T64">
        <v>44051</v>
      </c>
      <c r="U64">
        <v>0</v>
      </c>
      <c r="V64">
        <v>13485</v>
      </c>
      <c r="W64">
        <v>19126</v>
      </c>
      <c r="X64">
        <v>0</v>
      </c>
      <c r="Y64">
        <v>10388</v>
      </c>
      <c r="Z64">
        <v>1193235</v>
      </c>
      <c r="AA64">
        <v>0</v>
      </c>
      <c r="AB64">
        <v>817</v>
      </c>
      <c r="AC64">
        <v>1068392</v>
      </c>
      <c r="AD64">
        <v>37408</v>
      </c>
      <c r="AE64">
        <v>6190</v>
      </c>
      <c r="AF64">
        <v>1296656</v>
      </c>
      <c r="AG64">
        <v>0</v>
      </c>
      <c r="AH64">
        <v>0</v>
      </c>
      <c r="AI64">
        <v>57300</v>
      </c>
      <c r="AJ64">
        <v>0</v>
      </c>
      <c r="AK64">
        <v>0</v>
      </c>
      <c r="AL64">
        <v>719449</v>
      </c>
      <c r="AM64">
        <v>0</v>
      </c>
      <c r="AN64">
        <v>0</v>
      </c>
      <c r="AO64">
        <v>0</v>
      </c>
      <c r="AP64">
        <v>2991</v>
      </c>
      <c r="AQ64">
        <v>11529</v>
      </c>
      <c r="AR64">
        <v>0</v>
      </c>
      <c r="AS64">
        <v>51189</v>
      </c>
      <c r="AT64">
        <v>0</v>
      </c>
      <c r="AU64">
        <v>9491573</v>
      </c>
      <c r="AV64">
        <v>1792866</v>
      </c>
      <c r="AW64">
        <v>36287</v>
      </c>
      <c r="AX64">
        <v>585</v>
      </c>
      <c r="AY64">
        <v>0</v>
      </c>
      <c r="AZ64">
        <v>0</v>
      </c>
      <c r="BA64">
        <v>0</v>
      </c>
      <c r="BB64">
        <v>0</v>
      </c>
      <c r="BC64">
        <v>0</v>
      </c>
      <c r="BD64">
        <v>603</v>
      </c>
      <c r="BE64">
        <v>0</v>
      </c>
      <c r="BF64">
        <v>525316</v>
      </c>
      <c r="BG64">
        <v>0</v>
      </c>
      <c r="BH64">
        <v>116675</v>
      </c>
      <c r="BI64">
        <v>18933</v>
      </c>
      <c r="BJ64">
        <v>0</v>
      </c>
      <c r="BK64">
        <v>0</v>
      </c>
      <c r="BL64">
        <v>41225</v>
      </c>
      <c r="BM64">
        <v>459091</v>
      </c>
      <c r="BN64">
        <v>19959</v>
      </c>
      <c r="BO64">
        <v>1852799</v>
      </c>
      <c r="BP64">
        <v>3909746</v>
      </c>
      <c r="BQ64">
        <v>0</v>
      </c>
      <c r="BR64">
        <v>381614</v>
      </c>
      <c r="BS64">
        <v>0</v>
      </c>
      <c r="BT64">
        <v>91385</v>
      </c>
      <c r="BU64">
        <v>1574</v>
      </c>
      <c r="BV64">
        <v>0</v>
      </c>
      <c r="BW64">
        <v>259597</v>
      </c>
      <c r="BX64">
        <v>0</v>
      </c>
      <c r="BY64">
        <v>2641647</v>
      </c>
      <c r="BZ64">
        <v>238</v>
      </c>
      <c r="CA64">
        <v>291769</v>
      </c>
      <c r="CB64">
        <v>4766</v>
      </c>
      <c r="CC64">
        <v>1270</v>
      </c>
      <c r="CD64">
        <v>1362333</v>
      </c>
    </row>
    <row r="65" spans="1:82" x14ac:dyDescent="0.3">
      <c r="A65" s="155">
        <v>349</v>
      </c>
      <c r="B65" t="s">
        <v>114</v>
      </c>
      <c r="D65">
        <v>116674</v>
      </c>
      <c r="E65">
        <v>3427481</v>
      </c>
      <c r="F65">
        <v>0</v>
      </c>
      <c r="G65">
        <v>815404</v>
      </c>
      <c r="H65">
        <v>1369686</v>
      </c>
      <c r="I65">
        <v>36697</v>
      </c>
      <c r="J65">
        <v>0</v>
      </c>
      <c r="K65">
        <v>3606228</v>
      </c>
      <c r="L65">
        <v>10852702</v>
      </c>
      <c r="M65">
        <v>0</v>
      </c>
      <c r="N65">
        <v>0</v>
      </c>
      <c r="O65">
        <v>0</v>
      </c>
      <c r="P65">
        <v>18448</v>
      </c>
      <c r="Q65">
        <v>5253129</v>
      </c>
      <c r="R65">
        <v>0</v>
      </c>
      <c r="S65">
        <v>281892</v>
      </c>
      <c r="T65">
        <v>1047737</v>
      </c>
      <c r="U65">
        <v>75886</v>
      </c>
      <c r="V65">
        <v>8056612</v>
      </c>
      <c r="W65">
        <v>0</v>
      </c>
      <c r="X65">
        <v>480229</v>
      </c>
      <c r="Y65">
        <v>986323</v>
      </c>
      <c r="Z65">
        <v>39411535</v>
      </c>
      <c r="AA65">
        <v>0</v>
      </c>
      <c r="AB65">
        <v>228930</v>
      </c>
      <c r="AC65">
        <v>0</v>
      </c>
      <c r="AD65">
        <v>0</v>
      </c>
      <c r="AE65">
        <v>0</v>
      </c>
      <c r="AF65">
        <v>75637007</v>
      </c>
      <c r="AG65">
        <v>1959</v>
      </c>
      <c r="AH65">
        <v>50314</v>
      </c>
      <c r="AI65">
        <v>4279542</v>
      </c>
      <c r="AJ65">
        <v>0</v>
      </c>
      <c r="AK65">
        <v>9425</v>
      </c>
      <c r="AL65">
        <v>29977576</v>
      </c>
      <c r="AM65">
        <v>2599278</v>
      </c>
      <c r="AN65">
        <v>10834733</v>
      </c>
      <c r="AO65">
        <v>0</v>
      </c>
      <c r="AP65">
        <v>3207112</v>
      </c>
      <c r="AQ65">
        <v>0</v>
      </c>
      <c r="AR65">
        <v>0</v>
      </c>
      <c r="AS65">
        <v>3008966</v>
      </c>
      <c r="AT65">
        <v>39034</v>
      </c>
      <c r="AU65">
        <v>406516241</v>
      </c>
      <c r="AV65">
        <v>146745310</v>
      </c>
      <c r="AW65">
        <v>1429294</v>
      </c>
      <c r="AX65">
        <v>667095</v>
      </c>
      <c r="AY65">
        <v>408036</v>
      </c>
      <c r="AZ65">
        <v>82270</v>
      </c>
      <c r="BA65">
        <v>1262655</v>
      </c>
      <c r="BB65">
        <v>3864516</v>
      </c>
      <c r="BC65">
        <v>212549</v>
      </c>
      <c r="BD65">
        <v>0</v>
      </c>
      <c r="BE65">
        <v>284937</v>
      </c>
      <c r="BF65">
        <v>16608217</v>
      </c>
      <c r="BG65">
        <v>0</v>
      </c>
      <c r="BH65">
        <v>14497853</v>
      </c>
      <c r="BI65">
        <v>1663993</v>
      </c>
      <c r="BJ65">
        <v>0</v>
      </c>
      <c r="BK65">
        <v>0</v>
      </c>
      <c r="BL65">
        <v>24969401</v>
      </c>
      <c r="BM65">
        <v>41502523</v>
      </c>
      <c r="BN65">
        <v>6672378</v>
      </c>
      <c r="BO65">
        <v>31247507</v>
      </c>
      <c r="BP65">
        <v>201864160</v>
      </c>
      <c r="BQ65">
        <v>41735</v>
      </c>
      <c r="BR65">
        <v>1527700</v>
      </c>
      <c r="BS65">
        <v>0</v>
      </c>
      <c r="BT65">
        <v>30386654</v>
      </c>
      <c r="BU65">
        <v>35462</v>
      </c>
      <c r="BV65">
        <v>19547</v>
      </c>
      <c r="BW65">
        <v>3727106</v>
      </c>
      <c r="BX65">
        <v>0</v>
      </c>
      <c r="BY65">
        <v>44461697</v>
      </c>
      <c r="BZ65">
        <v>622330</v>
      </c>
      <c r="CA65">
        <v>0</v>
      </c>
      <c r="CB65">
        <v>145050</v>
      </c>
      <c r="CC65">
        <v>0</v>
      </c>
      <c r="CD65">
        <v>0</v>
      </c>
    </row>
    <row r="66" spans="1:82" x14ac:dyDescent="0.3">
      <c r="A66" s="155">
        <v>350</v>
      </c>
      <c r="B66" t="s">
        <v>884</v>
      </c>
      <c r="D66">
        <v>57531</v>
      </c>
      <c r="E66">
        <v>52372</v>
      </c>
      <c r="F66">
        <v>0</v>
      </c>
      <c r="G66">
        <v>19927</v>
      </c>
      <c r="H66">
        <v>612</v>
      </c>
      <c r="I66">
        <v>306</v>
      </c>
      <c r="J66">
        <v>0</v>
      </c>
      <c r="K66">
        <v>236309</v>
      </c>
      <c r="L66">
        <v>4173</v>
      </c>
      <c r="M66">
        <v>0</v>
      </c>
      <c r="N66">
        <v>0</v>
      </c>
      <c r="O66">
        <v>0</v>
      </c>
      <c r="P66">
        <v>0</v>
      </c>
      <c r="Q66">
        <v>49714</v>
      </c>
      <c r="R66">
        <v>0</v>
      </c>
      <c r="S66">
        <v>97</v>
      </c>
      <c r="T66">
        <v>5866</v>
      </c>
      <c r="U66">
        <v>11925</v>
      </c>
      <c r="V66">
        <v>299219</v>
      </c>
      <c r="W66">
        <v>0</v>
      </c>
      <c r="X66">
        <v>0</v>
      </c>
      <c r="Y66">
        <v>286</v>
      </c>
      <c r="Z66">
        <v>584861</v>
      </c>
      <c r="AA66">
        <v>0</v>
      </c>
      <c r="AB66">
        <v>0</v>
      </c>
      <c r="AC66">
        <v>0</v>
      </c>
      <c r="AD66">
        <v>0</v>
      </c>
      <c r="AE66">
        <v>0</v>
      </c>
      <c r="AF66">
        <v>81490</v>
      </c>
      <c r="AG66">
        <v>0</v>
      </c>
      <c r="AH66">
        <v>259</v>
      </c>
      <c r="AI66">
        <v>52</v>
      </c>
      <c r="AJ66">
        <v>4</v>
      </c>
      <c r="AK66">
        <v>0</v>
      </c>
      <c r="AL66">
        <v>770314</v>
      </c>
      <c r="AM66">
        <v>206752</v>
      </c>
      <c r="AN66">
        <v>746313</v>
      </c>
      <c r="AO66">
        <v>0</v>
      </c>
      <c r="AP66">
        <v>5467</v>
      </c>
      <c r="AQ66">
        <v>0</v>
      </c>
      <c r="AR66">
        <v>0</v>
      </c>
      <c r="AS66">
        <v>7311</v>
      </c>
      <c r="AT66">
        <v>243</v>
      </c>
      <c r="AU66">
        <v>672408</v>
      </c>
      <c r="AV66">
        <v>1351258</v>
      </c>
      <c r="AW66">
        <v>1141</v>
      </c>
      <c r="AX66">
        <v>370946</v>
      </c>
      <c r="AY66">
        <v>30101</v>
      </c>
      <c r="AZ66">
        <v>0</v>
      </c>
      <c r="BA66">
        <v>5</v>
      </c>
      <c r="BB66">
        <v>94618</v>
      </c>
      <c r="BC66">
        <v>6782</v>
      </c>
      <c r="BD66">
        <v>0</v>
      </c>
      <c r="BE66">
        <v>706</v>
      </c>
      <c r="BF66">
        <v>145421</v>
      </c>
      <c r="BG66">
        <v>0</v>
      </c>
      <c r="BH66">
        <v>0</v>
      </c>
      <c r="BI66">
        <v>1490</v>
      </c>
      <c r="BJ66">
        <v>0</v>
      </c>
      <c r="BK66">
        <v>0</v>
      </c>
      <c r="BL66">
        <v>149295</v>
      </c>
      <c r="BM66">
        <v>27629</v>
      </c>
      <c r="BN66">
        <v>59624</v>
      </c>
      <c r="BO66">
        <v>556788</v>
      </c>
      <c r="BP66">
        <v>921654</v>
      </c>
      <c r="BQ66">
        <v>188040</v>
      </c>
      <c r="BR66">
        <v>1335</v>
      </c>
      <c r="BS66">
        <v>0</v>
      </c>
      <c r="BT66">
        <v>72326</v>
      </c>
      <c r="BU66">
        <v>0</v>
      </c>
      <c r="BV66">
        <v>697</v>
      </c>
      <c r="BW66">
        <v>1341116</v>
      </c>
      <c r="BX66">
        <v>0</v>
      </c>
      <c r="BY66">
        <v>18650136</v>
      </c>
      <c r="BZ66">
        <v>191</v>
      </c>
      <c r="CA66">
        <v>0</v>
      </c>
      <c r="CB66">
        <v>161004</v>
      </c>
      <c r="CC66">
        <v>0</v>
      </c>
      <c r="CD66">
        <v>0</v>
      </c>
    </row>
    <row r="67" spans="1:82" x14ac:dyDescent="0.3">
      <c r="A67" s="155">
        <v>351</v>
      </c>
      <c r="B67" t="s">
        <v>223</v>
      </c>
      <c r="D67">
        <v>0</v>
      </c>
      <c r="E67">
        <v>79691</v>
      </c>
      <c r="F67">
        <v>0</v>
      </c>
      <c r="G67">
        <v>0</v>
      </c>
      <c r="H67">
        <v>59679</v>
      </c>
      <c r="I67">
        <v>0</v>
      </c>
      <c r="J67">
        <v>0</v>
      </c>
      <c r="K67">
        <v>267351</v>
      </c>
      <c r="L67">
        <v>333490</v>
      </c>
      <c r="M67">
        <v>0</v>
      </c>
      <c r="N67">
        <v>0</v>
      </c>
      <c r="O67">
        <v>0</v>
      </c>
      <c r="P67">
        <v>0</v>
      </c>
      <c r="Q67">
        <v>0</v>
      </c>
      <c r="R67">
        <v>0</v>
      </c>
      <c r="S67">
        <v>0</v>
      </c>
      <c r="T67">
        <v>23859</v>
      </c>
      <c r="U67">
        <v>1824</v>
      </c>
      <c r="V67">
        <v>135660</v>
      </c>
      <c r="W67">
        <v>0</v>
      </c>
      <c r="X67">
        <v>10436</v>
      </c>
      <c r="Y67">
        <v>28943</v>
      </c>
      <c r="Z67">
        <v>6589882</v>
      </c>
      <c r="AA67">
        <v>0</v>
      </c>
      <c r="AB67">
        <v>0</v>
      </c>
      <c r="AC67">
        <v>0</v>
      </c>
      <c r="AD67">
        <v>0</v>
      </c>
      <c r="AE67">
        <v>0</v>
      </c>
      <c r="AF67">
        <v>687175</v>
      </c>
      <c r="AG67">
        <v>0</v>
      </c>
      <c r="AH67">
        <v>0</v>
      </c>
      <c r="AI67">
        <v>74414</v>
      </c>
      <c r="AJ67">
        <v>0</v>
      </c>
      <c r="AK67">
        <v>0</v>
      </c>
      <c r="AL67">
        <v>484874</v>
      </c>
      <c r="AM67">
        <v>72905</v>
      </c>
      <c r="AN67">
        <v>74932</v>
      </c>
      <c r="AO67">
        <v>0</v>
      </c>
      <c r="AP67">
        <v>47880</v>
      </c>
      <c r="AQ67">
        <v>0</v>
      </c>
      <c r="AR67">
        <v>0</v>
      </c>
      <c r="AS67">
        <v>38404</v>
      </c>
      <c r="AT67">
        <v>0</v>
      </c>
      <c r="AU67">
        <v>12337430</v>
      </c>
      <c r="AV67">
        <v>2882709</v>
      </c>
      <c r="AW67">
        <v>33375</v>
      </c>
      <c r="AX67">
        <v>376808</v>
      </c>
      <c r="AY67">
        <v>33034</v>
      </c>
      <c r="AZ67">
        <v>0</v>
      </c>
      <c r="BA67">
        <v>0</v>
      </c>
      <c r="BB67">
        <v>0</v>
      </c>
      <c r="BC67">
        <v>9056</v>
      </c>
      <c r="BD67">
        <v>0</v>
      </c>
      <c r="BE67">
        <v>13631</v>
      </c>
      <c r="BF67">
        <v>263780</v>
      </c>
      <c r="BG67">
        <v>0</v>
      </c>
      <c r="BH67">
        <v>447413</v>
      </c>
      <c r="BI67">
        <v>19129</v>
      </c>
      <c r="BJ67">
        <v>0</v>
      </c>
      <c r="BK67">
        <v>0</v>
      </c>
      <c r="BL67">
        <v>85759</v>
      </c>
      <c r="BM67">
        <v>1034819</v>
      </c>
      <c r="BN67">
        <v>209009</v>
      </c>
      <c r="BO67">
        <v>977955</v>
      </c>
      <c r="BP67">
        <v>7814591</v>
      </c>
      <c r="BQ67">
        <v>0</v>
      </c>
      <c r="BR67">
        <v>0</v>
      </c>
      <c r="BS67">
        <v>0</v>
      </c>
      <c r="BT67">
        <v>824575</v>
      </c>
      <c r="BU67">
        <v>0</v>
      </c>
      <c r="BV67">
        <v>0</v>
      </c>
      <c r="BW67">
        <v>1159754</v>
      </c>
      <c r="BX67">
        <v>0</v>
      </c>
      <c r="BY67">
        <v>742365</v>
      </c>
      <c r="BZ67">
        <v>15872</v>
      </c>
      <c r="CA67">
        <v>0</v>
      </c>
      <c r="CB67">
        <v>3750</v>
      </c>
      <c r="CC67">
        <v>0</v>
      </c>
      <c r="CD67">
        <v>0</v>
      </c>
    </row>
    <row r="68" spans="1:82" x14ac:dyDescent="0.3">
      <c r="A68" s="155">
        <v>352</v>
      </c>
      <c r="B68" t="s">
        <v>225</v>
      </c>
      <c r="D68">
        <v>36650</v>
      </c>
      <c r="E68">
        <v>0</v>
      </c>
      <c r="F68">
        <v>0</v>
      </c>
      <c r="G68">
        <v>0</v>
      </c>
      <c r="H68">
        <v>0</v>
      </c>
      <c r="I68">
        <v>0</v>
      </c>
      <c r="J68">
        <v>0</v>
      </c>
      <c r="K68">
        <v>6775</v>
      </c>
      <c r="L68">
        <v>0</v>
      </c>
      <c r="M68">
        <v>0</v>
      </c>
      <c r="N68">
        <v>0</v>
      </c>
      <c r="O68">
        <v>0</v>
      </c>
      <c r="P68">
        <v>0</v>
      </c>
      <c r="Q68">
        <v>5851715</v>
      </c>
      <c r="R68">
        <v>0</v>
      </c>
      <c r="S68">
        <v>0</v>
      </c>
      <c r="T68">
        <v>93500</v>
      </c>
      <c r="U68">
        <v>40968</v>
      </c>
      <c r="V68">
        <v>24112</v>
      </c>
      <c r="W68">
        <v>0</v>
      </c>
      <c r="X68">
        <v>25020</v>
      </c>
      <c r="Y68">
        <v>0</v>
      </c>
      <c r="Z68">
        <v>0</v>
      </c>
      <c r="AA68">
        <v>37544</v>
      </c>
      <c r="AB68">
        <v>0</v>
      </c>
      <c r="AC68">
        <v>0</v>
      </c>
      <c r="AD68">
        <v>0</v>
      </c>
      <c r="AE68">
        <v>0</v>
      </c>
      <c r="AF68">
        <v>1290</v>
      </c>
      <c r="AG68">
        <v>0</v>
      </c>
      <c r="AH68">
        <v>0</v>
      </c>
      <c r="AI68">
        <v>514230</v>
      </c>
      <c r="AJ68">
        <v>0</v>
      </c>
      <c r="AK68">
        <v>0</v>
      </c>
      <c r="AL68">
        <v>290592</v>
      </c>
      <c r="AM68">
        <v>0</v>
      </c>
      <c r="AN68">
        <v>0</v>
      </c>
      <c r="AO68">
        <v>0</v>
      </c>
      <c r="AP68">
        <v>0</v>
      </c>
      <c r="AQ68">
        <v>0</v>
      </c>
      <c r="AR68">
        <v>0</v>
      </c>
      <c r="AS68">
        <v>0</v>
      </c>
      <c r="AT68">
        <v>0</v>
      </c>
      <c r="AU68">
        <v>3295960</v>
      </c>
      <c r="AV68">
        <v>0</v>
      </c>
      <c r="AW68">
        <v>21168</v>
      </c>
      <c r="AX68">
        <v>29123</v>
      </c>
      <c r="AY68">
        <v>70277</v>
      </c>
      <c r="AZ68">
        <v>0</v>
      </c>
      <c r="BA68">
        <v>0</v>
      </c>
      <c r="BB68">
        <v>0</v>
      </c>
      <c r="BC68">
        <v>94812</v>
      </c>
      <c r="BD68">
        <v>0</v>
      </c>
      <c r="BE68">
        <v>0</v>
      </c>
      <c r="BF68">
        <v>0</v>
      </c>
      <c r="BG68">
        <v>0</v>
      </c>
      <c r="BH68">
        <v>0</v>
      </c>
      <c r="BI68">
        <v>0</v>
      </c>
      <c r="BJ68">
        <v>0</v>
      </c>
      <c r="BK68">
        <v>0</v>
      </c>
      <c r="BL68">
        <v>1615040</v>
      </c>
      <c r="BM68">
        <v>0</v>
      </c>
      <c r="BN68">
        <v>0</v>
      </c>
      <c r="BO68">
        <v>894313</v>
      </c>
      <c r="BP68">
        <v>0</v>
      </c>
      <c r="BQ68">
        <v>0</v>
      </c>
      <c r="BR68">
        <v>840698</v>
      </c>
      <c r="BS68">
        <v>0</v>
      </c>
      <c r="BT68">
        <v>0</v>
      </c>
      <c r="BU68">
        <v>0</v>
      </c>
      <c r="BV68">
        <v>33212</v>
      </c>
      <c r="BW68">
        <v>0</v>
      </c>
      <c r="BX68">
        <v>0</v>
      </c>
      <c r="BY68">
        <v>25293997</v>
      </c>
      <c r="BZ68">
        <v>517</v>
      </c>
      <c r="CA68">
        <v>0</v>
      </c>
      <c r="CB68">
        <v>91944</v>
      </c>
      <c r="CC68">
        <v>0</v>
      </c>
      <c r="CD68">
        <v>0</v>
      </c>
    </row>
    <row r="69" spans="1:82" x14ac:dyDescent="0.3">
      <c r="A69" s="155">
        <v>353</v>
      </c>
      <c r="B69" t="s">
        <v>226</v>
      </c>
      <c r="D69">
        <v>0</v>
      </c>
      <c r="E69">
        <v>0</v>
      </c>
      <c r="F69">
        <v>0</v>
      </c>
      <c r="G69">
        <v>0</v>
      </c>
      <c r="H69">
        <v>0</v>
      </c>
      <c r="I69">
        <v>0</v>
      </c>
      <c r="J69">
        <v>0</v>
      </c>
      <c r="K69">
        <v>0</v>
      </c>
      <c r="L69">
        <v>83577</v>
      </c>
      <c r="M69">
        <v>0</v>
      </c>
      <c r="N69">
        <v>0</v>
      </c>
      <c r="O69">
        <v>0</v>
      </c>
      <c r="P69">
        <v>0</v>
      </c>
      <c r="Q69">
        <v>0</v>
      </c>
      <c r="R69">
        <v>0</v>
      </c>
      <c r="S69">
        <v>0</v>
      </c>
      <c r="T69">
        <v>0</v>
      </c>
      <c r="U69">
        <v>0</v>
      </c>
      <c r="V69">
        <v>0</v>
      </c>
      <c r="W69">
        <v>0</v>
      </c>
      <c r="X69">
        <v>0</v>
      </c>
      <c r="Y69">
        <v>74681</v>
      </c>
      <c r="Z69">
        <v>256800</v>
      </c>
      <c r="AA69">
        <v>0</v>
      </c>
      <c r="AB69">
        <v>0</v>
      </c>
      <c r="AC69">
        <v>0</v>
      </c>
      <c r="AD69">
        <v>0</v>
      </c>
      <c r="AE69">
        <v>0</v>
      </c>
      <c r="AF69">
        <v>0</v>
      </c>
      <c r="AG69">
        <v>0</v>
      </c>
      <c r="AH69">
        <v>0</v>
      </c>
      <c r="AI69">
        <v>514230</v>
      </c>
      <c r="AJ69">
        <v>0</v>
      </c>
      <c r="AK69">
        <v>2504</v>
      </c>
      <c r="AL69">
        <v>0</v>
      </c>
      <c r="AM69">
        <v>0</v>
      </c>
      <c r="AN69">
        <v>0</v>
      </c>
      <c r="AO69">
        <v>0</v>
      </c>
      <c r="AP69">
        <v>0</v>
      </c>
      <c r="AQ69">
        <v>0</v>
      </c>
      <c r="AR69">
        <v>0</v>
      </c>
      <c r="AS69">
        <v>0</v>
      </c>
      <c r="AT69">
        <v>0</v>
      </c>
      <c r="AU69">
        <v>1480718</v>
      </c>
      <c r="AV69">
        <v>0</v>
      </c>
      <c r="AW69">
        <v>0</v>
      </c>
      <c r="AX69">
        <v>0</v>
      </c>
      <c r="AY69">
        <v>0</v>
      </c>
      <c r="AZ69">
        <v>0</v>
      </c>
      <c r="BA69">
        <v>0</v>
      </c>
      <c r="BB69">
        <v>0</v>
      </c>
      <c r="BC69">
        <v>0</v>
      </c>
      <c r="BD69">
        <v>0</v>
      </c>
      <c r="BE69">
        <v>0</v>
      </c>
      <c r="BF69">
        <v>0</v>
      </c>
      <c r="BG69">
        <v>0</v>
      </c>
      <c r="BH69">
        <v>0</v>
      </c>
      <c r="BI69">
        <v>0</v>
      </c>
      <c r="BJ69">
        <v>0</v>
      </c>
      <c r="BK69">
        <v>0</v>
      </c>
      <c r="BL69">
        <v>77070</v>
      </c>
      <c r="BM69">
        <v>0</v>
      </c>
      <c r="BN69">
        <v>0</v>
      </c>
      <c r="BO69">
        <v>4164215</v>
      </c>
      <c r="BP69">
        <v>50000</v>
      </c>
      <c r="BQ69">
        <v>0</v>
      </c>
      <c r="BR69">
        <v>0</v>
      </c>
      <c r="BS69">
        <v>0</v>
      </c>
      <c r="BT69">
        <v>0</v>
      </c>
      <c r="BU69">
        <v>0</v>
      </c>
      <c r="BV69">
        <v>0</v>
      </c>
      <c r="BW69">
        <v>0</v>
      </c>
      <c r="BX69">
        <v>0</v>
      </c>
      <c r="BY69">
        <v>22216701</v>
      </c>
      <c r="BZ69">
        <v>0</v>
      </c>
      <c r="CA69">
        <v>0</v>
      </c>
      <c r="CB69">
        <v>0</v>
      </c>
      <c r="CC69">
        <v>0</v>
      </c>
      <c r="CD69">
        <v>0</v>
      </c>
    </row>
    <row r="70" spans="1:82" x14ac:dyDescent="0.3">
      <c r="A70" s="155">
        <v>356</v>
      </c>
      <c r="B70" s="551" t="s">
        <v>305</v>
      </c>
      <c r="D70">
        <v>0</v>
      </c>
      <c r="E70">
        <v>0</v>
      </c>
      <c r="F70">
        <v>0</v>
      </c>
      <c r="G70">
        <v>0</v>
      </c>
      <c r="H70">
        <v>0</v>
      </c>
      <c r="I70">
        <v>0</v>
      </c>
      <c r="J70">
        <v>0</v>
      </c>
      <c r="K70">
        <v>0</v>
      </c>
      <c r="L70">
        <v>9271028</v>
      </c>
      <c r="M70">
        <v>0</v>
      </c>
      <c r="N70">
        <v>0</v>
      </c>
      <c r="O70">
        <v>0</v>
      </c>
      <c r="P70">
        <v>0</v>
      </c>
      <c r="Q70">
        <v>15161994</v>
      </c>
      <c r="R70">
        <v>0</v>
      </c>
      <c r="S70">
        <v>772875</v>
      </c>
      <c r="T70">
        <v>0</v>
      </c>
      <c r="U70">
        <v>0</v>
      </c>
      <c r="V70">
        <v>0</v>
      </c>
      <c r="W70">
        <v>0</v>
      </c>
      <c r="X70">
        <v>0</v>
      </c>
      <c r="Y70">
        <v>1031857</v>
      </c>
      <c r="Z70">
        <v>0</v>
      </c>
      <c r="AA70">
        <v>0</v>
      </c>
      <c r="AB70">
        <v>0</v>
      </c>
      <c r="AC70">
        <v>0</v>
      </c>
      <c r="AD70">
        <v>0</v>
      </c>
      <c r="AE70">
        <v>0</v>
      </c>
      <c r="AF70">
        <v>118454854</v>
      </c>
      <c r="AG70">
        <v>0</v>
      </c>
      <c r="AH70">
        <v>0</v>
      </c>
      <c r="AI70">
        <v>0</v>
      </c>
      <c r="AJ70">
        <v>0</v>
      </c>
      <c r="AK70">
        <v>0</v>
      </c>
      <c r="AL70">
        <v>0</v>
      </c>
      <c r="AM70">
        <v>0</v>
      </c>
      <c r="AN70">
        <v>0</v>
      </c>
      <c r="AO70">
        <v>0</v>
      </c>
      <c r="AP70">
        <v>7332536</v>
      </c>
      <c r="AQ70">
        <v>0</v>
      </c>
      <c r="AR70">
        <v>0</v>
      </c>
      <c r="AS70">
        <v>0</v>
      </c>
      <c r="AT70">
        <v>0</v>
      </c>
      <c r="AU70">
        <v>0</v>
      </c>
      <c r="AV70">
        <v>373767401</v>
      </c>
      <c r="AW70">
        <v>0</v>
      </c>
      <c r="AX70">
        <v>0</v>
      </c>
      <c r="AY70">
        <v>0</v>
      </c>
      <c r="AZ70">
        <v>0</v>
      </c>
      <c r="BA70">
        <v>355673</v>
      </c>
      <c r="BB70">
        <v>0</v>
      </c>
      <c r="BC70">
        <v>0</v>
      </c>
      <c r="BD70">
        <v>0</v>
      </c>
      <c r="BE70">
        <v>0</v>
      </c>
      <c r="BF70">
        <v>0</v>
      </c>
      <c r="BG70">
        <v>0</v>
      </c>
      <c r="BH70">
        <v>0</v>
      </c>
      <c r="BI70">
        <v>0</v>
      </c>
      <c r="BJ70">
        <v>0</v>
      </c>
      <c r="BK70">
        <v>0</v>
      </c>
      <c r="BL70">
        <v>0</v>
      </c>
      <c r="BM70">
        <v>0</v>
      </c>
      <c r="BN70">
        <v>2958426</v>
      </c>
      <c r="BO70">
        <v>0</v>
      </c>
      <c r="BP70">
        <v>148158378</v>
      </c>
      <c r="BQ70">
        <v>0</v>
      </c>
      <c r="BR70">
        <v>3973995</v>
      </c>
      <c r="BS70">
        <v>0</v>
      </c>
      <c r="BT70">
        <v>0</v>
      </c>
      <c r="BU70">
        <v>466651</v>
      </c>
      <c r="BV70">
        <v>0</v>
      </c>
      <c r="BW70">
        <v>0</v>
      </c>
      <c r="BX70">
        <v>0</v>
      </c>
      <c r="BY70">
        <v>0</v>
      </c>
      <c r="BZ70">
        <v>1047516</v>
      </c>
      <c r="CA70">
        <v>0</v>
      </c>
      <c r="CB70">
        <v>0</v>
      </c>
      <c r="CC70">
        <v>0</v>
      </c>
      <c r="CD70">
        <v>41824376</v>
      </c>
    </row>
    <row r="71" spans="1:82" x14ac:dyDescent="0.3">
      <c r="A71" s="155">
        <v>357</v>
      </c>
      <c r="B71" s="551" t="s">
        <v>306</v>
      </c>
      <c r="D71">
        <v>0</v>
      </c>
      <c r="E71">
        <v>0</v>
      </c>
      <c r="F71">
        <v>0</v>
      </c>
      <c r="G71">
        <v>0</v>
      </c>
      <c r="H71">
        <v>0</v>
      </c>
      <c r="I71">
        <v>0</v>
      </c>
      <c r="J71">
        <v>0</v>
      </c>
      <c r="K71">
        <v>0</v>
      </c>
      <c r="L71">
        <v>5641384</v>
      </c>
      <c r="M71" s="180">
        <v>0</v>
      </c>
      <c r="N71">
        <v>0</v>
      </c>
      <c r="O71">
        <v>0</v>
      </c>
      <c r="P71">
        <v>0</v>
      </c>
      <c r="Q71">
        <v>11054435</v>
      </c>
      <c r="R71">
        <v>0</v>
      </c>
      <c r="S71">
        <v>636247</v>
      </c>
      <c r="T71">
        <v>0</v>
      </c>
      <c r="U71">
        <v>0</v>
      </c>
      <c r="V71">
        <v>0</v>
      </c>
      <c r="W71">
        <v>0</v>
      </c>
      <c r="X71">
        <v>0</v>
      </c>
      <c r="Y71">
        <v>1001723</v>
      </c>
      <c r="Z71">
        <v>0</v>
      </c>
      <c r="AA71">
        <v>0</v>
      </c>
      <c r="AB71">
        <v>0</v>
      </c>
      <c r="AC71">
        <v>0</v>
      </c>
      <c r="AD71">
        <v>0</v>
      </c>
      <c r="AE71">
        <v>0</v>
      </c>
      <c r="AF71">
        <v>68865746</v>
      </c>
      <c r="AG71">
        <v>0</v>
      </c>
      <c r="AH71">
        <v>0</v>
      </c>
      <c r="AI71">
        <v>0</v>
      </c>
      <c r="AJ71">
        <v>0</v>
      </c>
      <c r="AK71">
        <v>0</v>
      </c>
      <c r="AL71">
        <v>0</v>
      </c>
      <c r="AM71">
        <v>0</v>
      </c>
      <c r="AN71">
        <v>0</v>
      </c>
      <c r="AO71">
        <v>0</v>
      </c>
      <c r="AP71">
        <v>4383605</v>
      </c>
      <c r="AQ71">
        <v>0</v>
      </c>
      <c r="AR71">
        <v>0</v>
      </c>
      <c r="AS71">
        <v>0</v>
      </c>
      <c r="AT71">
        <v>0</v>
      </c>
      <c r="AU71">
        <v>0</v>
      </c>
      <c r="AV71">
        <v>232515112</v>
      </c>
      <c r="AW71">
        <v>0</v>
      </c>
      <c r="AX71">
        <v>0</v>
      </c>
      <c r="AY71">
        <v>0</v>
      </c>
      <c r="AZ71">
        <v>0</v>
      </c>
      <c r="BA71">
        <v>291607</v>
      </c>
      <c r="BB71">
        <v>0</v>
      </c>
      <c r="BC71">
        <v>0</v>
      </c>
      <c r="BD71">
        <v>0</v>
      </c>
      <c r="BE71">
        <v>0</v>
      </c>
      <c r="BF71">
        <v>0</v>
      </c>
      <c r="BG71">
        <v>0</v>
      </c>
      <c r="BH71">
        <v>0</v>
      </c>
      <c r="BI71">
        <v>0</v>
      </c>
      <c r="BJ71">
        <v>0</v>
      </c>
      <c r="BK71">
        <v>0</v>
      </c>
      <c r="BL71">
        <v>0</v>
      </c>
      <c r="BM71">
        <v>0</v>
      </c>
      <c r="BN71">
        <v>2641699</v>
      </c>
      <c r="BO71">
        <v>0</v>
      </c>
      <c r="BP71">
        <v>105620457</v>
      </c>
      <c r="BQ71">
        <v>0</v>
      </c>
      <c r="BR71">
        <v>2885779</v>
      </c>
      <c r="BS71">
        <v>0</v>
      </c>
      <c r="BT71">
        <v>0</v>
      </c>
      <c r="BU71">
        <v>420297</v>
      </c>
      <c r="BV71">
        <v>0</v>
      </c>
      <c r="BW71">
        <v>0</v>
      </c>
      <c r="BX71">
        <v>0</v>
      </c>
      <c r="BY71">
        <v>0</v>
      </c>
      <c r="BZ71">
        <v>586525</v>
      </c>
      <c r="CA71">
        <v>0</v>
      </c>
      <c r="CB71">
        <v>0</v>
      </c>
      <c r="CC71">
        <v>0</v>
      </c>
      <c r="CD71">
        <v>16899182</v>
      </c>
    </row>
    <row r="72" spans="1:82" x14ac:dyDescent="0.3">
      <c r="A72" s="155">
        <v>359</v>
      </c>
      <c r="B72" s="551" t="s">
        <v>247</v>
      </c>
      <c r="D72">
        <v>0</v>
      </c>
      <c r="E72">
        <v>0</v>
      </c>
      <c r="F72">
        <v>0</v>
      </c>
      <c r="G72">
        <v>0</v>
      </c>
      <c r="H72">
        <v>0</v>
      </c>
      <c r="I72">
        <v>0</v>
      </c>
      <c r="J72">
        <v>0</v>
      </c>
      <c r="K72">
        <v>0</v>
      </c>
      <c r="L72">
        <v>40078</v>
      </c>
      <c r="M72" s="180">
        <v>0</v>
      </c>
      <c r="N72">
        <v>0</v>
      </c>
      <c r="O72">
        <v>0</v>
      </c>
      <c r="P72">
        <v>0</v>
      </c>
      <c r="Q72">
        <v>0</v>
      </c>
      <c r="R72">
        <v>0</v>
      </c>
      <c r="S72">
        <v>0</v>
      </c>
      <c r="T72">
        <v>0</v>
      </c>
      <c r="U72">
        <v>0</v>
      </c>
      <c r="V72">
        <v>0</v>
      </c>
      <c r="W72">
        <v>0</v>
      </c>
      <c r="X72">
        <v>0</v>
      </c>
      <c r="Y72">
        <v>0</v>
      </c>
      <c r="Z72">
        <v>0</v>
      </c>
      <c r="AA72">
        <v>0</v>
      </c>
      <c r="AB72">
        <v>0</v>
      </c>
      <c r="AC72">
        <v>0</v>
      </c>
      <c r="AD72">
        <v>0</v>
      </c>
      <c r="AE72">
        <v>0</v>
      </c>
      <c r="AF72">
        <v>285454</v>
      </c>
      <c r="AG72">
        <v>0</v>
      </c>
      <c r="AH72">
        <v>0</v>
      </c>
      <c r="AI72">
        <v>0</v>
      </c>
      <c r="AJ72">
        <v>0</v>
      </c>
      <c r="AK72">
        <v>0</v>
      </c>
      <c r="AL72">
        <v>0</v>
      </c>
      <c r="AM72">
        <v>0</v>
      </c>
      <c r="AN72">
        <v>0</v>
      </c>
      <c r="AO72">
        <v>0</v>
      </c>
      <c r="AP72">
        <v>0</v>
      </c>
      <c r="AQ72">
        <v>0</v>
      </c>
      <c r="AR72">
        <v>0</v>
      </c>
      <c r="AS72">
        <v>0</v>
      </c>
      <c r="AT72">
        <v>0</v>
      </c>
      <c r="AU72">
        <v>0</v>
      </c>
      <c r="AV72">
        <v>59626571</v>
      </c>
      <c r="AW72">
        <v>65957</v>
      </c>
      <c r="AX72">
        <v>0</v>
      </c>
      <c r="AY72">
        <v>0</v>
      </c>
      <c r="AZ72">
        <v>0</v>
      </c>
      <c r="BA72">
        <v>0</v>
      </c>
      <c r="BB72">
        <v>0</v>
      </c>
      <c r="BC72">
        <v>0</v>
      </c>
      <c r="BD72">
        <v>0</v>
      </c>
      <c r="BE72">
        <v>0</v>
      </c>
      <c r="BF72">
        <v>0</v>
      </c>
      <c r="BG72">
        <v>0</v>
      </c>
      <c r="BH72">
        <v>0</v>
      </c>
      <c r="BI72">
        <v>0</v>
      </c>
      <c r="BJ72">
        <v>0</v>
      </c>
      <c r="BK72">
        <v>0</v>
      </c>
      <c r="BL72">
        <v>0</v>
      </c>
      <c r="BM72">
        <v>0</v>
      </c>
      <c r="BN72">
        <v>175095</v>
      </c>
      <c r="BO72">
        <v>0</v>
      </c>
      <c r="BP72">
        <v>0</v>
      </c>
      <c r="BQ72">
        <v>0</v>
      </c>
      <c r="BR72">
        <v>0</v>
      </c>
      <c r="BS72">
        <v>0</v>
      </c>
      <c r="BT72">
        <v>0</v>
      </c>
      <c r="BU72">
        <v>0</v>
      </c>
      <c r="BV72">
        <v>0</v>
      </c>
      <c r="BW72">
        <v>0</v>
      </c>
      <c r="BX72">
        <v>0</v>
      </c>
      <c r="BY72">
        <v>0</v>
      </c>
      <c r="BZ72">
        <v>20790</v>
      </c>
      <c r="CA72">
        <v>0</v>
      </c>
      <c r="CB72">
        <v>0</v>
      </c>
      <c r="CC72">
        <v>0</v>
      </c>
      <c r="CD72">
        <v>3280</v>
      </c>
    </row>
    <row r="73" spans="1:82" x14ac:dyDescent="0.3">
      <c r="A73" s="155">
        <v>360</v>
      </c>
      <c r="B73" s="551" t="s">
        <v>117</v>
      </c>
      <c r="D73">
        <v>0</v>
      </c>
      <c r="E73">
        <v>0</v>
      </c>
      <c r="F73">
        <v>0</v>
      </c>
      <c r="G73">
        <v>0</v>
      </c>
      <c r="H73">
        <v>0</v>
      </c>
      <c r="I73">
        <v>0</v>
      </c>
      <c r="J73">
        <v>0</v>
      </c>
      <c r="K73">
        <v>0</v>
      </c>
      <c r="L73">
        <v>1153341</v>
      </c>
      <c r="M73" s="180">
        <v>0</v>
      </c>
      <c r="N73">
        <v>0</v>
      </c>
      <c r="O73">
        <v>0</v>
      </c>
      <c r="P73">
        <v>0</v>
      </c>
      <c r="Q73">
        <v>2030558</v>
      </c>
      <c r="R73">
        <v>0</v>
      </c>
      <c r="S73">
        <v>76685</v>
      </c>
      <c r="T73">
        <v>0</v>
      </c>
      <c r="U73">
        <v>0</v>
      </c>
      <c r="V73">
        <v>0</v>
      </c>
      <c r="W73">
        <v>0</v>
      </c>
      <c r="X73">
        <v>0</v>
      </c>
      <c r="Y73">
        <v>772434</v>
      </c>
      <c r="Z73">
        <v>0</v>
      </c>
      <c r="AA73">
        <v>0</v>
      </c>
      <c r="AB73">
        <v>0</v>
      </c>
      <c r="AC73">
        <v>0</v>
      </c>
      <c r="AD73">
        <v>0</v>
      </c>
      <c r="AE73">
        <v>0</v>
      </c>
      <c r="AF73">
        <v>16000943</v>
      </c>
      <c r="AG73">
        <v>0</v>
      </c>
      <c r="AH73">
        <v>0</v>
      </c>
      <c r="AI73">
        <v>0</v>
      </c>
      <c r="AJ73">
        <v>0</v>
      </c>
      <c r="AK73">
        <v>0</v>
      </c>
      <c r="AL73">
        <v>0</v>
      </c>
      <c r="AM73">
        <v>0</v>
      </c>
      <c r="AN73">
        <v>0</v>
      </c>
      <c r="AO73">
        <v>0</v>
      </c>
      <c r="AP73">
        <v>1138650</v>
      </c>
      <c r="AQ73">
        <v>0</v>
      </c>
      <c r="AR73">
        <v>0</v>
      </c>
      <c r="AS73">
        <v>0</v>
      </c>
      <c r="AT73">
        <v>0</v>
      </c>
      <c r="AU73">
        <v>0</v>
      </c>
      <c r="AV73">
        <v>109855796</v>
      </c>
      <c r="AW73">
        <v>0</v>
      </c>
      <c r="AX73">
        <v>0</v>
      </c>
      <c r="AY73">
        <v>0</v>
      </c>
      <c r="AZ73">
        <v>0</v>
      </c>
      <c r="BA73">
        <v>72233</v>
      </c>
      <c r="BB73">
        <v>0</v>
      </c>
      <c r="BC73">
        <v>0</v>
      </c>
      <c r="BD73">
        <v>0</v>
      </c>
      <c r="BE73">
        <v>0</v>
      </c>
      <c r="BF73">
        <v>0</v>
      </c>
      <c r="BG73">
        <v>0</v>
      </c>
      <c r="BH73">
        <v>0</v>
      </c>
      <c r="BI73">
        <v>0</v>
      </c>
      <c r="BJ73">
        <v>0</v>
      </c>
      <c r="BK73">
        <v>0</v>
      </c>
      <c r="BL73">
        <v>0</v>
      </c>
      <c r="BM73">
        <v>0</v>
      </c>
      <c r="BN73">
        <v>750698</v>
      </c>
      <c r="BO73">
        <v>0</v>
      </c>
      <c r="BP73">
        <v>20374738</v>
      </c>
      <c r="BQ73">
        <v>0</v>
      </c>
      <c r="BR73">
        <v>639187</v>
      </c>
      <c r="BS73">
        <v>0</v>
      </c>
      <c r="BT73">
        <v>0</v>
      </c>
      <c r="BU73">
        <v>110263</v>
      </c>
      <c r="BV73">
        <v>0</v>
      </c>
      <c r="BW73">
        <v>0</v>
      </c>
      <c r="BX73">
        <v>0</v>
      </c>
      <c r="BY73">
        <v>0</v>
      </c>
      <c r="BZ73">
        <v>167785</v>
      </c>
      <c r="CA73">
        <v>0</v>
      </c>
      <c r="CB73">
        <v>0</v>
      </c>
      <c r="CC73">
        <v>0</v>
      </c>
      <c r="CD73">
        <v>2794718</v>
      </c>
    </row>
    <row r="74" spans="1:82" x14ac:dyDescent="0.3">
      <c r="A74" s="155">
        <v>361</v>
      </c>
      <c r="B74" s="551" t="s">
        <v>98</v>
      </c>
      <c r="D74">
        <v>0</v>
      </c>
      <c r="E74">
        <v>0</v>
      </c>
      <c r="F74">
        <v>0</v>
      </c>
      <c r="G74">
        <v>0</v>
      </c>
      <c r="H74">
        <v>0</v>
      </c>
      <c r="I74">
        <v>0</v>
      </c>
      <c r="J74">
        <v>0</v>
      </c>
      <c r="K74">
        <v>0</v>
      </c>
      <c r="L74">
        <v>880773</v>
      </c>
      <c r="M74" s="180">
        <v>0</v>
      </c>
      <c r="N74">
        <v>0</v>
      </c>
      <c r="O74">
        <v>0</v>
      </c>
      <c r="P74">
        <v>0</v>
      </c>
      <c r="Q74">
        <v>1459899</v>
      </c>
      <c r="R74">
        <v>0</v>
      </c>
      <c r="S74">
        <v>1052051</v>
      </c>
      <c r="T74">
        <v>0</v>
      </c>
      <c r="U74">
        <v>0</v>
      </c>
      <c r="V74">
        <v>0</v>
      </c>
      <c r="W74">
        <v>0</v>
      </c>
      <c r="X74">
        <v>0</v>
      </c>
      <c r="Y74">
        <v>82898</v>
      </c>
      <c r="Z74">
        <v>0</v>
      </c>
      <c r="AA74">
        <v>0</v>
      </c>
      <c r="AB74">
        <v>0</v>
      </c>
      <c r="AC74">
        <v>0</v>
      </c>
      <c r="AD74">
        <v>0</v>
      </c>
      <c r="AE74">
        <v>0</v>
      </c>
      <c r="AF74">
        <v>49439455</v>
      </c>
      <c r="AG74">
        <v>0</v>
      </c>
      <c r="AH74">
        <v>0</v>
      </c>
      <c r="AI74">
        <v>0</v>
      </c>
      <c r="AJ74">
        <v>0</v>
      </c>
      <c r="AK74">
        <v>0</v>
      </c>
      <c r="AL74">
        <v>0</v>
      </c>
      <c r="AM74">
        <v>0</v>
      </c>
      <c r="AN74">
        <v>0</v>
      </c>
      <c r="AO74">
        <v>0</v>
      </c>
      <c r="AP74">
        <v>7273180</v>
      </c>
      <c r="AQ74">
        <v>0</v>
      </c>
      <c r="AR74">
        <v>0</v>
      </c>
      <c r="AS74">
        <v>0</v>
      </c>
      <c r="AT74">
        <v>0</v>
      </c>
      <c r="AU74">
        <v>0</v>
      </c>
      <c r="AV74">
        <v>63296185</v>
      </c>
      <c r="AW74">
        <v>0</v>
      </c>
      <c r="AX74">
        <v>0</v>
      </c>
      <c r="AY74">
        <v>0</v>
      </c>
      <c r="AZ74">
        <v>0</v>
      </c>
      <c r="BA74">
        <v>516944</v>
      </c>
      <c r="BB74">
        <v>0</v>
      </c>
      <c r="BC74">
        <v>0</v>
      </c>
      <c r="BD74">
        <v>0</v>
      </c>
      <c r="BE74">
        <v>0</v>
      </c>
      <c r="BF74">
        <v>0</v>
      </c>
      <c r="BG74">
        <v>0</v>
      </c>
      <c r="BH74">
        <v>0</v>
      </c>
      <c r="BI74">
        <v>0</v>
      </c>
      <c r="BJ74">
        <v>0</v>
      </c>
      <c r="BK74">
        <v>0</v>
      </c>
      <c r="BL74">
        <v>0</v>
      </c>
      <c r="BM74">
        <v>0</v>
      </c>
      <c r="BN74">
        <v>1341450</v>
      </c>
      <c r="BO74">
        <v>0</v>
      </c>
      <c r="BP74">
        <v>71128308</v>
      </c>
      <c r="BQ74">
        <v>0</v>
      </c>
      <c r="BR74">
        <v>8647546</v>
      </c>
      <c r="BS74">
        <v>0</v>
      </c>
      <c r="BT74">
        <v>0</v>
      </c>
      <c r="BU74">
        <v>350768</v>
      </c>
      <c r="BV74">
        <v>0</v>
      </c>
      <c r="BW74">
        <v>0</v>
      </c>
      <c r="BX74">
        <v>0</v>
      </c>
      <c r="BY74">
        <v>0</v>
      </c>
      <c r="BZ74">
        <v>389327</v>
      </c>
      <c r="CA74">
        <v>0</v>
      </c>
      <c r="CB74">
        <v>0</v>
      </c>
      <c r="CC74">
        <v>0</v>
      </c>
      <c r="CD74">
        <v>7278177</v>
      </c>
    </row>
    <row r="75" spans="1:82" x14ac:dyDescent="0.3">
      <c r="A75" s="155">
        <v>362</v>
      </c>
      <c r="B75" s="551" t="s">
        <v>99</v>
      </c>
      <c r="D75">
        <v>0</v>
      </c>
      <c r="E75">
        <v>0</v>
      </c>
      <c r="F75">
        <v>0</v>
      </c>
      <c r="G75">
        <v>0</v>
      </c>
      <c r="H75">
        <v>0</v>
      </c>
      <c r="I75">
        <v>0</v>
      </c>
      <c r="J75">
        <v>0</v>
      </c>
      <c r="K75">
        <v>0</v>
      </c>
      <c r="L75">
        <v>4569317</v>
      </c>
      <c r="M75" s="180">
        <v>0</v>
      </c>
      <c r="N75">
        <v>0</v>
      </c>
      <c r="O75">
        <v>0</v>
      </c>
      <c r="P75">
        <v>0</v>
      </c>
      <c r="Q75">
        <v>5683173</v>
      </c>
      <c r="R75">
        <v>0</v>
      </c>
      <c r="S75">
        <v>1188679</v>
      </c>
      <c r="T75">
        <v>0</v>
      </c>
      <c r="U75">
        <v>0</v>
      </c>
      <c r="V75">
        <v>0</v>
      </c>
      <c r="W75">
        <v>0</v>
      </c>
      <c r="X75">
        <v>0</v>
      </c>
      <c r="Y75">
        <v>250301</v>
      </c>
      <c r="Z75">
        <v>0</v>
      </c>
      <c r="AA75">
        <v>0</v>
      </c>
      <c r="AB75">
        <v>0</v>
      </c>
      <c r="AC75">
        <v>0</v>
      </c>
      <c r="AD75">
        <v>0</v>
      </c>
      <c r="AE75">
        <v>0</v>
      </c>
      <c r="AF75">
        <v>106720410</v>
      </c>
      <c r="AG75">
        <v>0</v>
      </c>
      <c r="AH75">
        <v>0</v>
      </c>
      <c r="AI75">
        <v>0</v>
      </c>
      <c r="AJ75">
        <v>0</v>
      </c>
      <c r="AK75">
        <v>0</v>
      </c>
      <c r="AL75">
        <v>0</v>
      </c>
      <c r="AM75">
        <v>0</v>
      </c>
      <c r="AN75">
        <v>0</v>
      </c>
      <c r="AO75">
        <v>0</v>
      </c>
      <c r="AP75">
        <v>10302081</v>
      </c>
      <c r="AQ75">
        <v>0</v>
      </c>
      <c r="AR75">
        <v>0</v>
      </c>
      <c r="AS75">
        <v>0</v>
      </c>
      <c r="AT75">
        <v>0</v>
      </c>
      <c r="AU75">
        <v>0</v>
      </c>
      <c r="AV75">
        <v>160842916</v>
      </c>
      <c r="AW75">
        <v>0</v>
      </c>
      <c r="AX75">
        <v>0</v>
      </c>
      <c r="AY75">
        <v>0</v>
      </c>
      <c r="AZ75">
        <v>0</v>
      </c>
      <c r="BA75">
        <v>581010</v>
      </c>
      <c r="BB75">
        <v>0</v>
      </c>
      <c r="BC75">
        <v>0</v>
      </c>
      <c r="BD75">
        <v>0</v>
      </c>
      <c r="BE75">
        <v>0</v>
      </c>
      <c r="BF75">
        <v>0</v>
      </c>
      <c r="BG75">
        <v>0</v>
      </c>
      <c r="BH75">
        <v>0</v>
      </c>
      <c r="BI75">
        <v>0</v>
      </c>
      <c r="BJ75">
        <v>0</v>
      </c>
      <c r="BK75">
        <v>0</v>
      </c>
      <c r="BL75">
        <v>0</v>
      </c>
      <c r="BM75">
        <v>0</v>
      </c>
      <c r="BN75">
        <v>1628221</v>
      </c>
      <c r="BO75">
        <v>0</v>
      </c>
      <c r="BP75">
        <v>176539999</v>
      </c>
      <c r="BQ75">
        <v>0</v>
      </c>
      <c r="BR75">
        <v>9735762</v>
      </c>
      <c r="BS75">
        <v>0</v>
      </c>
      <c r="BT75">
        <v>0</v>
      </c>
      <c r="BU75">
        <v>397122</v>
      </c>
      <c r="BV75">
        <v>0</v>
      </c>
      <c r="BW75">
        <v>0</v>
      </c>
      <c r="BX75">
        <v>0</v>
      </c>
      <c r="BY75">
        <v>0</v>
      </c>
      <c r="BZ75">
        <v>829528</v>
      </c>
      <c r="CA75">
        <v>0</v>
      </c>
      <c r="CB75">
        <v>0</v>
      </c>
      <c r="CC75">
        <v>0</v>
      </c>
      <c r="CD75">
        <v>32617437</v>
      </c>
    </row>
    <row r="76" spans="1:82" x14ac:dyDescent="0.3">
      <c r="A76" s="155">
        <v>363</v>
      </c>
      <c r="B76" s="551" t="s">
        <v>233</v>
      </c>
      <c r="D76">
        <v>0</v>
      </c>
      <c r="E76">
        <v>0</v>
      </c>
      <c r="F76">
        <v>0</v>
      </c>
      <c r="G76">
        <v>0</v>
      </c>
      <c r="H76">
        <v>0</v>
      </c>
      <c r="I76">
        <v>0</v>
      </c>
      <c r="J76">
        <v>0</v>
      </c>
      <c r="K76">
        <v>0</v>
      </c>
      <c r="L76">
        <v>8020</v>
      </c>
      <c r="M76" s="180">
        <v>0</v>
      </c>
      <c r="N76">
        <v>0</v>
      </c>
      <c r="O76">
        <v>0</v>
      </c>
      <c r="P76">
        <v>0</v>
      </c>
      <c r="Q76">
        <v>6758</v>
      </c>
      <c r="R76">
        <v>0</v>
      </c>
      <c r="S76">
        <v>42</v>
      </c>
      <c r="T76">
        <v>0</v>
      </c>
      <c r="U76">
        <v>0</v>
      </c>
      <c r="V76">
        <v>0</v>
      </c>
      <c r="W76">
        <v>0</v>
      </c>
      <c r="X76">
        <v>0</v>
      </c>
      <c r="Y76">
        <v>700</v>
      </c>
      <c r="Z76">
        <v>0</v>
      </c>
      <c r="AA76">
        <v>0</v>
      </c>
      <c r="AB76">
        <v>0</v>
      </c>
      <c r="AC76">
        <v>0</v>
      </c>
      <c r="AD76">
        <v>0</v>
      </c>
      <c r="AE76">
        <v>0</v>
      </c>
      <c r="AF76">
        <v>80569</v>
      </c>
      <c r="AG76">
        <v>0</v>
      </c>
      <c r="AH76">
        <v>0</v>
      </c>
      <c r="AI76">
        <v>0</v>
      </c>
      <c r="AJ76">
        <v>0</v>
      </c>
      <c r="AK76">
        <v>0</v>
      </c>
      <c r="AL76">
        <v>0</v>
      </c>
      <c r="AM76">
        <v>0</v>
      </c>
      <c r="AN76">
        <v>0</v>
      </c>
      <c r="AO76">
        <v>0</v>
      </c>
      <c r="AP76">
        <v>41539</v>
      </c>
      <c r="AQ76">
        <v>0</v>
      </c>
      <c r="AR76">
        <v>0</v>
      </c>
      <c r="AS76">
        <v>0</v>
      </c>
      <c r="AT76">
        <v>0</v>
      </c>
      <c r="AU76">
        <v>0</v>
      </c>
      <c r="AV76">
        <v>3234394</v>
      </c>
      <c r="AW76">
        <v>0</v>
      </c>
      <c r="AX76">
        <v>0</v>
      </c>
      <c r="AY76">
        <v>0</v>
      </c>
      <c r="AZ76">
        <v>0</v>
      </c>
      <c r="BA76">
        <v>1052</v>
      </c>
      <c r="BB76">
        <v>0</v>
      </c>
      <c r="BC76">
        <v>0</v>
      </c>
      <c r="BD76">
        <v>0</v>
      </c>
      <c r="BE76">
        <v>0</v>
      </c>
      <c r="BF76">
        <v>0</v>
      </c>
      <c r="BG76">
        <v>0</v>
      </c>
      <c r="BH76">
        <v>0</v>
      </c>
      <c r="BI76">
        <v>0</v>
      </c>
      <c r="BJ76">
        <v>0</v>
      </c>
      <c r="BK76">
        <v>0</v>
      </c>
      <c r="BL76">
        <v>0</v>
      </c>
      <c r="BM76">
        <v>0</v>
      </c>
      <c r="BN76">
        <v>43507</v>
      </c>
      <c r="BO76">
        <v>0</v>
      </c>
      <c r="BP76">
        <v>586181</v>
      </c>
      <c r="BQ76">
        <v>0</v>
      </c>
      <c r="BR76">
        <v>10486</v>
      </c>
      <c r="BS76">
        <v>0</v>
      </c>
      <c r="BT76">
        <v>0</v>
      </c>
      <c r="BU76">
        <v>0</v>
      </c>
      <c r="BV76">
        <v>0</v>
      </c>
      <c r="BW76">
        <v>0</v>
      </c>
      <c r="BX76">
        <v>0</v>
      </c>
      <c r="BY76">
        <v>0</v>
      </c>
      <c r="BZ76">
        <v>1328</v>
      </c>
      <c r="CA76">
        <v>0</v>
      </c>
      <c r="CB76">
        <v>0</v>
      </c>
      <c r="CC76">
        <v>0</v>
      </c>
      <c r="CD76">
        <v>17177</v>
      </c>
    </row>
    <row r="77" spans="1:82" x14ac:dyDescent="0.3">
      <c r="A77" s="155">
        <v>364</v>
      </c>
      <c r="B77" s="551" t="s">
        <v>234</v>
      </c>
      <c r="D77">
        <v>0</v>
      </c>
      <c r="E77">
        <v>0</v>
      </c>
      <c r="F77">
        <v>0</v>
      </c>
      <c r="G77">
        <v>0</v>
      </c>
      <c r="H77">
        <v>0</v>
      </c>
      <c r="I77">
        <v>0</v>
      </c>
      <c r="J77">
        <v>0</v>
      </c>
      <c r="K77">
        <v>0</v>
      </c>
      <c r="L77">
        <v>3734</v>
      </c>
      <c r="M77" s="180">
        <v>0</v>
      </c>
      <c r="N77">
        <v>0</v>
      </c>
      <c r="O77">
        <v>0</v>
      </c>
      <c r="P77">
        <v>0</v>
      </c>
      <c r="Q77">
        <v>0</v>
      </c>
      <c r="R77">
        <v>0</v>
      </c>
      <c r="S77">
        <v>0</v>
      </c>
      <c r="T77">
        <v>0</v>
      </c>
      <c r="U77">
        <v>0</v>
      </c>
      <c r="V77">
        <v>0</v>
      </c>
      <c r="W77">
        <v>0</v>
      </c>
      <c r="X77">
        <v>0</v>
      </c>
      <c r="Y77">
        <v>0</v>
      </c>
      <c r="Z77">
        <v>0</v>
      </c>
      <c r="AA77">
        <v>0</v>
      </c>
      <c r="AB77">
        <v>0</v>
      </c>
      <c r="AC77">
        <v>0</v>
      </c>
      <c r="AD77">
        <v>0</v>
      </c>
      <c r="AE77">
        <v>0</v>
      </c>
      <c r="AF77">
        <v>336745</v>
      </c>
      <c r="AG77">
        <v>0</v>
      </c>
      <c r="AH77">
        <v>0</v>
      </c>
      <c r="AI77">
        <v>0</v>
      </c>
      <c r="AJ77">
        <v>0</v>
      </c>
      <c r="AK77">
        <v>0</v>
      </c>
      <c r="AL77">
        <v>0</v>
      </c>
      <c r="AM77">
        <v>0</v>
      </c>
      <c r="AN77">
        <v>0</v>
      </c>
      <c r="AO77">
        <v>0</v>
      </c>
      <c r="AP77">
        <v>0</v>
      </c>
      <c r="AQ77">
        <v>0</v>
      </c>
      <c r="AR77">
        <v>0</v>
      </c>
      <c r="AS77">
        <v>0</v>
      </c>
      <c r="AT77">
        <v>0</v>
      </c>
      <c r="AU77">
        <v>0</v>
      </c>
      <c r="AV77">
        <v>4018635</v>
      </c>
      <c r="AW77">
        <v>0</v>
      </c>
      <c r="AX77">
        <v>0</v>
      </c>
      <c r="AY77">
        <v>0</v>
      </c>
      <c r="AZ77">
        <v>0</v>
      </c>
      <c r="BA77">
        <v>0</v>
      </c>
      <c r="BB77">
        <v>0</v>
      </c>
      <c r="BC77">
        <v>0</v>
      </c>
      <c r="BD77">
        <v>0</v>
      </c>
      <c r="BE77">
        <v>0</v>
      </c>
      <c r="BF77">
        <v>0</v>
      </c>
      <c r="BG77">
        <v>0</v>
      </c>
      <c r="BH77">
        <v>0</v>
      </c>
      <c r="BI77">
        <v>0</v>
      </c>
      <c r="BJ77">
        <v>0</v>
      </c>
      <c r="BK77">
        <v>0</v>
      </c>
      <c r="BL77">
        <v>0</v>
      </c>
      <c r="BM77">
        <v>0</v>
      </c>
      <c r="BN77">
        <v>7994</v>
      </c>
      <c r="BO77">
        <v>0</v>
      </c>
      <c r="BP77">
        <v>3554434</v>
      </c>
      <c r="BQ77">
        <v>0</v>
      </c>
      <c r="BR77">
        <v>0</v>
      </c>
      <c r="BS77">
        <v>0</v>
      </c>
      <c r="BT77">
        <v>0</v>
      </c>
      <c r="BU77">
        <v>0</v>
      </c>
      <c r="BV77">
        <v>0</v>
      </c>
      <c r="BW77">
        <v>0</v>
      </c>
      <c r="BX77">
        <v>0</v>
      </c>
      <c r="BY77">
        <v>0</v>
      </c>
      <c r="BZ77">
        <v>5542</v>
      </c>
      <c r="CA77">
        <v>0</v>
      </c>
      <c r="CB77">
        <v>0</v>
      </c>
      <c r="CC77">
        <v>0</v>
      </c>
      <c r="CD77">
        <v>23</v>
      </c>
    </row>
    <row r="78" spans="1:82" x14ac:dyDescent="0.3">
      <c r="A78" s="155">
        <v>365</v>
      </c>
      <c r="B78" s="551" t="s">
        <v>236</v>
      </c>
      <c r="D78">
        <v>0</v>
      </c>
      <c r="E78">
        <v>0</v>
      </c>
      <c r="F78">
        <v>0</v>
      </c>
      <c r="G78">
        <v>0</v>
      </c>
      <c r="H78">
        <v>0</v>
      </c>
      <c r="I78">
        <v>0</v>
      </c>
      <c r="J78">
        <v>0</v>
      </c>
      <c r="K78">
        <v>0</v>
      </c>
      <c r="L78">
        <v>0</v>
      </c>
      <c r="M78" s="180">
        <v>0</v>
      </c>
      <c r="N78">
        <v>0</v>
      </c>
      <c r="O78">
        <v>0</v>
      </c>
      <c r="P78">
        <v>0</v>
      </c>
      <c r="Q78">
        <v>0</v>
      </c>
      <c r="R78">
        <v>0</v>
      </c>
      <c r="S78">
        <v>0</v>
      </c>
      <c r="T78">
        <v>0</v>
      </c>
      <c r="U78">
        <v>0</v>
      </c>
      <c r="V78">
        <v>0</v>
      </c>
      <c r="W78">
        <v>0</v>
      </c>
      <c r="X78">
        <v>0</v>
      </c>
      <c r="Y78">
        <v>0</v>
      </c>
      <c r="Z78">
        <v>0</v>
      </c>
      <c r="AA78">
        <v>0</v>
      </c>
      <c r="AB78">
        <v>0</v>
      </c>
      <c r="AC78">
        <v>0</v>
      </c>
      <c r="AD78">
        <v>0</v>
      </c>
      <c r="AE78">
        <v>0</v>
      </c>
      <c r="AF78">
        <v>7651</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row>
    <row r="79" spans="1:82" x14ac:dyDescent="0.3">
      <c r="A79" s="155">
        <v>366</v>
      </c>
      <c r="B79" s="551" t="s">
        <v>885</v>
      </c>
      <c r="D79">
        <v>0</v>
      </c>
      <c r="E79">
        <v>0</v>
      </c>
      <c r="F79">
        <v>0</v>
      </c>
      <c r="G79">
        <v>0</v>
      </c>
      <c r="H79">
        <v>0</v>
      </c>
      <c r="I79">
        <v>0</v>
      </c>
      <c r="J79">
        <v>0</v>
      </c>
      <c r="K79">
        <v>0</v>
      </c>
      <c r="L79">
        <v>349696</v>
      </c>
      <c r="M79" s="180">
        <v>0</v>
      </c>
      <c r="N79">
        <v>0</v>
      </c>
      <c r="O79">
        <v>0</v>
      </c>
      <c r="P79">
        <v>0</v>
      </c>
      <c r="Q79">
        <v>8277354</v>
      </c>
      <c r="R79">
        <v>0</v>
      </c>
      <c r="S79">
        <v>0</v>
      </c>
      <c r="T79">
        <v>0</v>
      </c>
      <c r="U79">
        <v>0</v>
      </c>
      <c r="V79">
        <v>0</v>
      </c>
      <c r="W79">
        <v>0</v>
      </c>
      <c r="X79">
        <v>0</v>
      </c>
      <c r="Y79">
        <v>45000</v>
      </c>
      <c r="Z79">
        <v>0</v>
      </c>
      <c r="AA79">
        <v>0</v>
      </c>
      <c r="AB79">
        <v>0</v>
      </c>
      <c r="AC79">
        <v>0</v>
      </c>
      <c r="AD79">
        <v>0</v>
      </c>
      <c r="AE79">
        <v>0</v>
      </c>
      <c r="AF79">
        <v>2000000</v>
      </c>
      <c r="AG79">
        <v>0</v>
      </c>
      <c r="AH79">
        <v>0</v>
      </c>
      <c r="AI79">
        <v>0</v>
      </c>
      <c r="AJ79">
        <v>0</v>
      </c>
      <c r="AK79">
        <v>0</v>
      </c>
      <c r="AL79">
        <v>0</v>
      </c>
      <c r="AM79">
        <v>0</v>
      </c>
      <c r="AN79">
        <v>0</v>
      </c>
      <c r="AO79">
        <v>0</v>
      </c>
      <c r="AP79">
        <v>0</v>
      </c>
      <c r="AQ79">
        <v>0</v>
      </c>
      <c r="AR79">
        <v>0</v>
      </c>
      <c r="AS79">
        <v>0</v>
      </c>
      <c r="AT79">
        <v>0</v>
      </c>
      <c r="AU79">
        <v>0</v>
      </c>
      <c r="AV79">
        <v>5059628</v>
      </c>
      <c r="AW79">
        <v>0</v>
      </c>
      <c r="AX79">
        <v>0</v>
      </c>
      <c r="AY79">
        <v>0</v>
      </c>
      <c r="AZ79">
        <v>0</v>
      </c>
      <c r="BA79">
        <v>0</v>
      </c>
      <c r="BB79">
        <v>0</v>
      </c>
      <c r="BC79">
        <v>0</v>
      </c>
      <c r="BD79">
        <v>0</v>
      </c>
      <c r="BE79">
        <v>0</v>
      </c>
      <c r="BF79">
        <v>0</v>
      </c>
      <c r="BG79">
        <v>0</v>
      </c>
      <c r="BH79">
        <v>0</v>
      </c>
      <c r="BI79">
        <v>0</v>
      </c>
      <c r="BJ79">
        <v>0</v>
      </c>
      <c r="BK79">
        <v>0</v>
      </c>
      <c r="BL79">
        <v>0</v>
      </c>
      <c r="BM79">
        <v>0</v>
      </c>
      <c r="BN79">
        <v>84000</v>
      </c>
      <c r="BO79">
        <v>0</v>
      </c>
      <c r="BP79">
        <v>2099849</v>
      </c>
      <c r="BQ79">
        <v>0</v>
      </c>
      <c r="BR79">
        <v>872850</v>
      </c>
      <c r="BS79">
        <v>0</v>
      </c>
      <c r="BT79">
        <v>0</v>
      </c>
      <c r="BU79">
        <v>7000</v>
      </c>
      <c r="BV79">
        <v>0</v>
      </c>
      <c r="BW79">
        <v>0</v>
      </c>
      <c r="BX79">
        <v>0</v>
      </c>
      <c r="BY79">
        <v>0</v>
      </c>
      <c r="BZ79">
        <v>517</v>
      </c>
      <c r="CA79">
        <v>0</v>
      </c>
      <c r="CB79">
        <v>0</v>
      </c>
      <c r="CC79">
        <v>0</v>
      </c>
      <c r="CD79">
        <v>0</v>
      </c>
    </row>
    <row r="80" spans="1:82" x14ac:dyDescent="0.3">
      <c r="A80" s="155">
        <v>368</v>
      </c>
      <c r="B80" t="s">
        <v>191</v>
      </c>
      <c r="D80">
        <v>0</v>
      </c>
      <c r="E80">
        <v>0</v>
      </c>
      <c r="F80">
        <v>0</v>
      </c>
      <c r="G80">
        <v>0</v>
      </c>
      <c r="H80">
        <v>0</v>
      </c>
      <c r="I80">
        <v>13478</v>
      </c>
      <c r="J80">
        <v>0</v>
      </c>
      <c r="K80">
        <v>0</v>
      </c>
      <c r="L80">
        <v>0</v>
      </c>
      <c r="M80">
        <v>623348</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22787</v>
      </c>
      <c r="AL80">
        <v>16131</v>
      </c>
      <c r="AM80">
        <v>0</v>
      </c>
      <c r="AN80">
        <v>13575</v>
      </c>
      <c r="AO80">
        <v>0</v>
      </c>
      <c r="AP80">
        <v>0</v>
      </c>
      <c r="AQ80">
        <v>0</v>
      </c>
      <c r="AR80">
        <v>0</v>
      </c>
      <c r="AS80">
        <v>0</v>
      </c>
      <c r="AT80">
        <v>0</v>
      </c>
      <c r="AU80">
        <v>1796593</v>
      </c>
      <c r="AV80">
        <v>0</v>
      </c>
      <c r="AW80">
        <v>0</v>
      </c>
      <c r="AX80">
        <v>0</v>
      </c>
      <c r="AY80">
        <v>0</v>
      </c>
      <c r="AZ80">
        <v>0</v>
      </c>
      <c r="BA80">
        <v>0</v>
      </c>
      <c r="BB80">
        <v>0</v>
      </c>
      <c r="BC80">
        <v>0</v>
      </c>
      <c r="BD80">
        <v>0</v>
      </c>
      <c r="BE80">
        <v>0</v>
      </c>
      <c r="BF80">
        <v>64185</v>
      </c>
      <c r="BG80">
        <v>0</v>
      </c>
      <c r="BH80">
        <v>0</v>
      </c>
      <c r="BI80">
        <v>0</v>
      </c>
      <c r="BJ80">
        <v>0</v>
      </c>
      <c r="BK80">
        <v>0</v>
      </c>
      <c r="BL80">
        <v>0</v>
      </c>
      <c r="BM80">
        <v>0</v>
      </c>
      <c r="BN80">
        <v>0</v>
      </c>
      <c r="BO80">
        <v>77490</v>
      </c>
      <c r="BP80">
        <v>2025254</v>
      </c>
      <c r="BQ80">
        <v>0</v>
      </c>
      <c r="BR80">
        <v>0</v>
      </c>
      <c r="BS80">
        <v>0</v>
      </c>
      <c r="BT80">
        <v>0</v>
      </c>
      <c r="BU80">
        <v>0</v>
      </c>
      <c r="BV80">
        <v>91147</v>
      </c>
      <c r="BW80">
        <v>0</v>
      </c>
      <c r="BX80">
        <v>0</v>
      </c>
      <c r="BY80">
        <v>0</v>
      </c>
      <c r="BZ80">
        <v>0</v>
      </c>
      <c r="CA80">
        <v>0</v>
      </c>
      <c r="CB80">
        <v>0</v>
      </c>
      <c r="CC80">
        <v>0</v>
      </c>
      <c r="CD80">
        <v>25638</v>
      </c>
    </row>
    <row r="81" spans="1:82" x14ac:dyDescent="0.3">
      <c r="A81" s="155">
        <v>369</v>
      </c>
      <c r="B81" t="s">
        <v>196</v>
      </c>
      <c r="D81">
        <v>1105866</v>
      </c>
      <c r="E81">
        <v>1185107</v>
      </c>
      <c r="F81">
        <v>185426</v>
      </c>
      <c r="G81">
        <v>412390</v>
      </c>
      <c r="H81">
        <v>372949</v>
      </c>
      <c r="I81">
        <v>120824</v>
      </c>
      <c r="J81">
        <v>18523</v>
      </c>
      <c r="K81">
        <v>64583</v>
      </c>
      <c r="L81">
        <v>2324020</v>
      </c>
      <c r="M81">
        <v>97010641</v>
      </c>
      <c r="N81">
        <v>875039</v>
      </c>
      <c r="O81">
        <v>3566290</v>
      </c>
      <c r="P81">
        <v>12159</v>
      </c>
      <c r="Q81">
        <v>2158811</v>
      </c>
      <c r="R81">
        <v>46484</v>
      </c>
      <c r="S81">
        <v>165116</v>
      </c>
      <c r="T81">
        <v>732782</v>
      </c>
      <c r="U81">
        <v>643571</v>
      </c>
      <c r="V81">
        <v>2170178</v>
      </c>
      <c r="W81">
        <v>900159</v>
      </c>
      <c r="X81">
        <v>500008</v>
      </c>
      <c r="Y81">
        <v>402210</v>
      </c>
      <c r="Z81">
        <v>16158425</v>
      </c>
      <c r="AA81">
        <v>142144</v>
      </c>
      <c r="AB81">
        <v>300664</v>
      </c>
      <c r="AC81">
        <v>3624180</v>
      </c>
      <c r="AD81">
        <v>386850</v>
      </c>
      <c r="AE81">
        <v>487238</v>
      </c>
      <c r="AF81">
        <v>5896972</v>
      </c>
      <c r="AG81">
        <v>184548</v>
      </c>
      <c r="AH81">
        <v>113748</v>
      </c>
      <c r="AI81">
        <v>2944980</v>
      </c>
      <c r="AJ81">
        <v>731562</v>
      </c>
      <c r="AK81">
        <v>48487</v>
      </c>
      <c r="AL81">
        <v>17823245</v>
      </c>
      <c r="AM81">
        <v>71271</v>
      </c>
      <c r="AN81">
        <v>7952858</v>
      </c>
      <c r="AO81">
        <v>81450</v>
      </c>
      <c r="AP81">
        <v>725242</v>
      </c>
      <c r="AQ81">
        <v>1487381</v>
      </c>
      <c r="AR81">
        <v>39086</v>
      </c>
      <c r="AS81">
        <v>177952</v>
      </c>
      <c r="AT81">
        <v>254243</v>
      </c>
      <c r="AU81">
        <v>34579248</v>
      </c>
      <c r="AV81">
        <v>10048500</v>
      </c>
      <c r="AW81">
        <v>301773</v>
      </c>
      <c r="AX81">
        <v>173344</v>
      </c>
      <c r="AY81">
        <v>72175</v>
      </c>
      <c r="AZ81">
        <v>30006</v>
      </c>
      <c r="BA81">
        <v>360553</v>
      </c>
      <c r="BB81">
        <v>2494536</v>
      </c>
      <c r="BC81">
        <v>46319</v>
      </c>
      <c r="BD81">
        <v>80887</v>
      </c>
      <c r="BE81">
        <v>20348</v>
      </c>
      <c r="BF81">
        <v>6899905</v>
      </c>
      <c r="BG81">
        <v>24844</v>
      </c>
      <c r="BH81">
        <v>6670449</v>
      </c>
      <c r="BI81">
        <v>1402994</v>
      </c>
      <c r="BJ81">
        <v>113032</v>
      </c>
      <c r="BK81">
        <v>56378</v>
      </c>
      <c r="BL81">
        <v>5803623</v>
      </c>
      <c r="BM81">
        <v>7526633</v>
      </c>
      <c r="BN81">
        <v>1166857</v>
      </c>
      <c r="BO81">
        <v>3233704</v>
      </c>
      <c r="BP81">
        <v>43718335</v>
      </c>
      <c r="BQ81">
        <v>156480</v>
      </c>
      <c r="BR81">
        <v>1075087</v>
      </c>
      <c r="BS81">
        <v>200760</v>
      </c>
      <c r="BT81">
        <v>4499789</v>
      </c>
      <c r="BU81">
        <v>63543</v>
      </c>
      <c r="BV81">
        <v>144295</v>
      </c>
      <c r="BW81">
        <v>311109</v>
      </c>
      <c r="BX81">
        <v>1590983</v>
      </c>
      <c r="BY81">
        <v>17212216</v>
      </c>
      <c r="BZ81">
        <v>350706</v>
      </c>
      <c r="CA81">
        <v>6660601</v>
      </c>
      <c r="CB81">
        <v>284839</v>
      </c>
      <c r="CC81">
        <v>592311</v>
      </c>
      <c r="CD81">
        <v>10164041</v>
      </c>
    </row>
    <row r="82" spans="1:82" x14ac:dyDescent="0.3">
      <c r="A82" s="155">
        <v>370</v>
      </c>
      <c r="B82" t="s">
        <v>198</v>
      </c>
      <c r="D82">
        <v>0</v>
      </c>
      <c r="E82">
        <v>0</v>
      </c>
      <c r="F82">
        <v>60280</v>
      </c>
      <c r="G82">
        <v>0</v>
      </c>
      <c r="H82">
        <v>1129</v>
      </c>
      <c r="I82">
        <v>0</v>
      </c>
      <c r="J82">
        <v>0</v>
      </c>
      <c r="K82">
        <v>0</v>
      </c>
      <c r="L82">
        <v>503037</v>
      </c>
      <c r="M82">
        <v>13812129</v>
      </c>
      <c r="N82">
        <v>0</v>
      </c>
      <c r="O82">
        <v>738579</v>
      </c>
      <c r="P82">
        <v>0</v>
      </c>
      <c r="Q82">
        <v>284649</v>
      </c>
      <c r="R82">
        <v>0</v>
      </c>
      <c r="S82">
        <v>14778</v>
      </c>
      <c r="T82">
        <v>71643</v>
      </c>
      <c r="U82">
        <v>0</v>
      </c>
      <c r="V82">
        <v>208039</v>
      </c>
      <c r="W82">
        <v>225677</v>
      </c>
      <c r="X82">
        <v>0</v>
      </c>
      <c r="Y82">
        <v>8977</v>
      </c>
      <c r="Z82">
        <v>110270</v>
      </c>
      <c r="AA82">
        <v>0</v>
      </c>
      <c r="AB82">
        <v>12293</v>
      </c>
      <c r="AC82">
        <v>4050673</v>
      </c>
      <c r="AD82">
        <v>55346</v>
      </c>
      <c r="AE82">
        <v>16633</v>
      </c>
      <c r="AF82">
        <v>5711619</v>
      </c>
      <c r="AG82">
        <v>0</v>
      </c>
      <c r="AH82">
        <v>0</v>
      </c>
      <c r="AI82">
        <v>162134</v>
      </c>
      <c r="AJ82">
        <v>0</v>
      </c>
      <c r="AK82">
        <v>0</v>
      </c>
      <c r="AL82">
        <v>4345861</v>
      </c>
      <c r="AM82">
        <v>0</v>
      </c>
      <c r="AN82">
        <v>0</v>
      </c>
      <c r="AO82">
        <v>0</v>
      </c>
      <c r="AP82">
        <v>2893</v>
      </c>
      <c r="AQ82">
        <v>111529</v>
      </c>
      <c r="AR82">
        <v>0</v>
      </c>
      <c r="AS82">
        <v>84213</v>
      </c>
      <c r="AT82">
        <v>0</v>
      </c>
      <c r="AU82">
        <v>219424</v>
      </c>
      <c r="AV82">
        <v>0</v>
      </c>
      <c r="AW82">
        <v>161107</v>
      </c>
      <c r="AX82">
        <v>4375</v>
      </c>
      <c r="AY82">
        <v>0</v>
      </c>
      <c r="AZ82">
        <v>2075</v>
      </c>
      <c r="BA82">
        <v>0</v>
      </c>
      <c r="BB82">
        <v>0</v>
      </c>
      <c r="BC82">
        <v>0</v>
      </c>
      <c r="BD82">
        <v>2731</v>
      </c>
      <c r="BE82">
        <v>0</v>
      </c>
      <c r="BF82">
        <v>1824838</v>
      </c>
      <c r="BG82">
        <v>0</v>
      </c>
      <c r="BH82">
        <v>351179</v>
      </c>
      <c r="BI82">
        <v>116653</v>
      </c>
      <c r="BJ82">
        <v>0</v>
      </c>
      <c r="BK82">
        <v>0</v>
      </c>
      <c r="BL82">
        <v>573717</v>
      </c>
      <c r="BM82">
        <v>1446543</v>
      </c>
      <c r="BN82">
        <v>66172</v>
      </c>
      <c r="BO82">
        <v>3997109</v>
      </c>
      <c r="BP82">
        <v>1806723</v>
      </c>
      <c r="BQ82">
        <v>0</v>
      </c>
      <c r="BR82">
        <v>0</v>
      </c>
      <c r="BS82">
        <v>0</v>
      </c>
      <c r="BT82">
        <v>764076</v>
      </c>
      <c r="BU82">
        <v>5322</v>
      </c>
      <c r="BV82">
        <v>0</v>
      </c>
      <c r="BW82">
        <v>251084</v>
      </c>
      <c r="BX82">
        <v>212918</v>
      </c>
      <c r="BY82">
        <v>0</v>
      </c>
      <c r="BZ82">
        <v>5267</v>
      </c>
      <c r="CA82">
        <v>843432</v>
      </c>
      <c r="CB82">
        <v>23661</v>
      </c>
      <c r="CC82">
        <v>26163</v>
      </c>
      <c r="CD82">
        <v>4684475</v>
      </c>
    </row>
    <row r="83" spans="1:82" x14ac:dyDescent="0.3">
      <c r="A83" s="155">
        <v>371</v>
      </c>
      <c r="B83" t="s">
        <v>248</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3109302</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26391689</v>
      </c>
      <c r="AV83">
        <v>5103413</v>
      </c>
      <c r="AW83">
        <v>0</v>
      </c>
      <c r="AX83">
        <v>0</v>
      </c>
      <c r="AY83">
        <v>0</v>
      </c>
      <c r="AZ83">
        <v>0</v>
      </c>
      <c r="BA83">
        <v>0</v>
      </c>
      <c r="BB83">
        <v>0</v>
      </c>
      <c r="BC83">
        <v>0</v>
      </c>
      <c r="BD83">
        <v>0</v>
      </c>
      <c r="BE83">
        <v>0</v>
      </c>
      <c r="BF83">
        <v>0</v>
      </c>
      <c r="BG83">
        <v>0</v>
      </c>
      <c r="BH83">
        <v>0</v>
      </c>
      <c r="BI83">
        <v>0</v>
      </c>
      <c r="BJ83">
        <v>0</v>
      </c>
      <c r="BK83">
        <v>0</v>
      </c>
      <c r="BL83">
        <v>0</v>
      </c>
      <c r="BM83">
        <v>0</v>
      </c>
      <c r="BN83">
        <v>0</v>
      </c>
      <c r="BO83">
        <v>0</v>
      </c>
      <c r="BP83">
        <v>5547550</v>
      </c>
      <c r="BQ83">
        <v>0</v>
      </c>
      <c r="BR83">
        <v>0</v>
      </c>
      <c r="BS83">
        <v>0</v>
      </c>
      <c r="BT83">
        <v>0</v>
      </c>
      <c r="BU83">
        <v>0</v>
      </c>
      <c r="BV83">
        <v>0</v>
      </c>
      <c r="BW83">
        <v>0</v>
      </c>
      <c r="BX83">
        <v>0</v>
      </c>
      <c r="BY83">
        <v>250000</v>
      </c>
      <c r="BZ83">
        <v>0</v>
      </c>
      <c r="CA83">
        <v>0</v>
      </c>
      <c r="CB83">
        <v>0</v>
      </c>
      <c r="CC83">
        <v>0</v>
      </c>
      <c r="CD83">
        <v>0</v>
      </c>
    </row>
    <row r="84" spans="1:82" x14ac:dyDescent="0.3">
      <c r="A84" s="155">
        <v>373</v>
      </c>
      <c r="B84" t="s">
        <v>302</v>
      </c>
      <c r="D84">
        <v>759737</v>
      </c>
      <c r="E84">
        <v>3544885</v>
      </c>
      <c r="F84">
        <v>509525</v>
      </c>
      <c r="G84">
        <v>626446</v>
      </c>
      <c r="H84">
        <v>1073906</v>
      </c>
      <c r="I84">
        <v>414258</v>
      </c>
      <c r="J84">
        <v>81947</v>
      </c>
      <c r="K84">
        <v>82919</v>
      </c>
      <c r="L84">
        <v>6492056</v>
      </c>
      <c r="M84">
        <v>463157219</v>
      </c>
      <c r="N84">
        <v>1649833</v>
      </c>
      <c r="O84">
        <v>4576722</v>
      </c>
      <c r="P84">
        <v>70738</v>
      </c>
      <c r="Q84">
        <v>14869008</v>
      </c>
      <c r="R84">
        <v>110768</v>
      </c>
      <c r="S84">
        <v>478830</v>
      </c>
      <c r="T84">
        <v>2146370</v>
      </c>
      <c r="U84">
        <v>1344981</v>
      </c>
      <c r="V84">
        <v>7223714</v>
      </c>
      <c r="W84">
        <v>1703750</v>
      </c>
      <c r="X84">
        <v>120647</v>
      </c>
      <c r="Y84">
        <v>1633883</v>
      </c>
      <c r="Z84">
        <v>43344829</v>
      </c>
      <c r="AA84">
        <v>516725</v>
      </c>
      <c r="AB84">
        <v>676860</v>
      </c>
      <c r="AC84">
        <v>92491900</v>
      </c>
      <c r="AD84">
        <v>962805</v>
      </c>
      <c r="AE84">
        <v>586437</v>
      </c>
      <c r="AF84">
        <v>337880612</v>
      </c>
      <c r="AG84">
        <v>453541</v>
      </c>
      <c r="AH84">
        <v>297278</v>
      </c>
      <c r="AI84">
        <v>7277560</v>
      </c>
      <c r="AJ84">
        <v>1396864</v>
      </c>
      <c r="AK84">
        <v>134287</v>
      </c>
      <c r="AL84">
        <v>73814557</v>
      </c>
      <c r="AM84">
        <v>522027</v>
      </c>
      <c r="AN84">
        <v>15702366</v>
      </c>
      <c r="AO84">
        <v>0</v>
      </c>
      <c r="AP84">
        <v>4211613</v>
      </c>
      <c r="AQ84">
        <v>3092555</v>
      </c>
      <c r="AR84">
        <v>116968</v>
      </c>
      <c r="AS84">
        <v>2274820</v>
      </c>
      <c r="AT84">
        <v>426512</v>
      </c>
      <c r="AU84">
        <v>457797235</v>
      </c>
      <c r="AV84">
        <v>111031656</v>
      </c>
      <c r="AW84">
        <v>7387597</v>
      </c>
      <c r="AX84">
        <v>415260</v>
      </c>
      <c r="AY84">
        <v>424542</v>
      </c>
      <c r="AZ84">
        <v>132485</v>
      </c>
      <c r="BA84">
        <v>324156</v>
      </c>
      <c r="BB84">
        <v>16679972</v>
      </c>
      <c r="BC84">
        <v>351448</v>
      </c>
      <c r="BD84">
        <v>325929</v>
      </c>
      <c r="BE84">
        <v>47723</v>
      </c>
      <c r="BF84">
        <v>9641775</v>
      </c>
      <c r="BG84">
        <v>59721</v>
      </c>
      <c r="BH84">
        <v>12355339</v>
      </c>
      <c r="BI84">
        <v>3811955</v>
      </c>
      <c r="BJ84">
        <v>848852</v>
      </c>
      <c r="BK84">
        <v>216566</v>
      </c>
      <c r="BL84">
        <v>29292683</v>
      </c>
      <c r="BM84">
        <v>27997144</v>
      </c>
      <c r="BN84">
        <v>3441498</v>
      </c>
      <c r="BO84">
        <v>111481418</v>
      </c>
      <c r="BP84">
        <v>591993234</v>
      </c>
      <c r="BQ84">
        <v>714351</v>
      </c>
      <c r="BR84">
        <v>12460851</v>
      </c>
      <c r="BS84">
        <v>1731645</v>
      </c>
      <c r="BT84">
        <v>10358021</v>
      </c>
      <c r="BU84">
        <v>1003336</v>
      </c>
      <c r="BV84">
        <v>777842</v>
      </c>
      <c r="BW84">
        <v>2284449</v>
      </c>
      <c r="BX84">
        <v>1511204</v>
      </c>
      <c r="BY84">
        <v>56251265</v>
      </c>
      <c r="BZ84">
        <v>0</v>
      </c>
      <c r="CA84">
        <v>16397677</v>
      </c>
      <c r="CB84">
        <v>886121</v>
      </c>
      <c r="CC84">
        <v>3807264</v>
      </c>
      <c r="CD84">
        <v>67845888</v>
      </c>
    </row>
    <row r="85" spans="1:82" x14ac:dyDescent="0.3">
      <c r="A85" s="155">
        <v>375</v>
      </c>
      <c r="B85" t="s">
        <v>213</v>
      </c>
      <c r="D85">
        <v>303772</v>
      </c>
      <c r="E85">
        <v>0</v>
      </c>
      <c r="F85">
        <v>0</v>
      </c>
      <c r="G85">
        <v>694335</v>
      </c>
      <c r="H85">
        <v>779769</v>
      </c>
      <c r="I85">
        <v>125711</v>
      </c>
      <c r="J85">
        <v>0</v>
      </c>
      <c r="K85">
        <v>241346</v>
      </c>
      <c r="L85">
        <v>3921752</v>
      </c>
      <c r="M85">
        <v>0</v>
      </c>
      <c r="N85">
        <v>0</v>
      </c>
      <c r="O85">
        <v>0</v>
      </c>
      <c r="P85">
        <v>30747</v>
      </c>
      <c r="Q85">
        <v>10159542</v>
      </c>
      <c r="R85">
        <v>0</v>
      </c>
      <c r="S85">
        <v>138987</v>
      </c>
      <c r="T85">
        <v>1127193</v>
      </c>
      <c r="U85">
        <v>945755</v>
      </c>
      <c r="V85">
        <v>7541432</v>
      </c>
      <c r="W85">
        <v>0</v>
      </c>
      <c r="X85">
        <v>357963</v>
      </c>
      <c r="Y85">
        <v>307887</v>
      </c>
      <c r="Z85">
        <v>24530648</v>
      </c>
      <c r="AA85">
        <v>50060</v>
      </c>
      <c r="AB85">
        <v>704431</v>
      </c>
      <c r="AC85">
        <v>0</v>
      </c>
      <c r="AD85">
        <v>0</v>
      </c>
      <c r="AE85">
        <v>0</v>
      </c>
      <c r="AF85">
        <v>16282433</v>
      </c>
      <c r="AG85">
        <v>-95</v>
      </c>
      <c r="AH85">
        <v>73444</v>
      </c>
      <c r="AI85">
        <v>2819244</v>
      </c>
      <c r="AJ85">
        <v>104633</v>
      </c>
      <c r="AK85">
        <v>64199</v>
      </c>
      <c r="AL85">
        <v>13352029</v>
      </c>
      <c r="AM85">
        <v>565508</v>
      </c>
      <c r="AN85">
        <v>11866181</v>
      </c>
      <c r="AO85">
        <v>0</v>
      </c>
      <c r="AP85">
        <v>2827258</v>
      </c>
      <c r="AQ85">
        <v>0</v>
      </c>
      <c r="AR85">
        <v>0</v>
      </c>
      <c r="AS85">
        <v>1210199</v>
      </c>
      <c r="AT85">
        <v>303059</v>
      </c>
      <c r="AU85">
        <v>37147507</v>
      </c>
      <c r="AV85">
        <v>24395301</v>
      </c>
      <c r="AW85">
        <v>791073</v>
      </c>
      <c r="AX85">
        <v>51183</v>
      </c>
      <c r="AY85">
        <v>47881</v>
      </c>
      <c r="AZ85">
        <v>-40811</v>
      </c>
      <c r="BA85">
        <v>183514</v>
      </c>
      <c r="BB85">
        <v>1829680</v>
      </c>
      <c r="BC85">
        <v>426705</v>
      </c>
      <c r="BD85">
        <v>0</v>
      </c>
      <c r="BE85">
        <v>151321</v>
      </c>
      <c r="BF85">
        <v>10613813</v>
      </c>
      <c r="BG85">
        <v>0</v>
      </c>
      <c r="BH85">
        <v>9784041</v>
      </c>
      <c r="BI85">
        <v>571900</v>
      </c>
      <c r="BJ85">
        <v>0</v>
      </c>
      <c r="BK85">
        <v>0</v>
      </c>
      <c r="BL85">
        <v>73099133</v>
      </c>
      <c r="BM85">
        <v>10637513</v>
      </c>
      <c r="BN85">
        <v>1144700</v>
      </c>
      <c r="BO85">
        <v>31698044</v>
      </c>
      <c r="BP85">
        <v>12155939</v>
      </c>
      <c r="BQ85">
        <v>257579</v>
      </c>
      <c r="BR85">
        <v>2354230</v>
      </c>
      <c r="BS85">
        <v>0</v>
      </c>
      <c r="BT85">
        <v>9000750</v>
      </c>
      <c r="BU85">
        <v>291869</v>
      </c>
      <c r="BV85">
        <v>6221</v>
      </c>
      <c r="BW85">
        <v>4842676</v>
      </c>
      <c r="BX85">
        <v>0</v>
      </c>
      <c r="BY85">
        <v>47093898</v>
      </c>
      <c r="BZ85">
        <v>547777</v>
      </c>
      <c r="CA85">
        <v>0</v>
      </c>
      <c r="CB85">
        <v>299331</v>
      </c>
      <c r="CC85">
        <v>0</v>
      </c>
      <c r="CD85">
        <v>0</v>
      </c>
    </row>
    <row r="86" spans="1:82" x14ac:dyDescent="0.3">
      <c r="A86" s="155">
        <v>376</v>
      </c>
      <c r="B86" t="s">
        <v>100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2748</v>
      </c>
      <c r="Z86">
        <v>0</v>
      </c>
      <c r="AA86">
        <v>0</v>
      </c>
      <c r="AB86">
        <v>0</v>
      </c>
      <c r="AC86">
        <v>0</v>
      </c>
      <c r="AD86">
        <v>0</v>
      </c>
      <c r="AE86">
        <v>0</v>
      </c>
      <c r="AF86">
        <v>0</v>
      </c>
      <c r="AG86">
        <v>0</v>
      </c>
      <c r="AH86">
        <v>0</v>
      </c>
      <c r="AI86">
        <v>0</v>
      </c>
      <c r="AJ86">
        <v>0</v>
      </c>
      <c r="AK86">
        <v>1</v>
      </c>
      <c r="AL86">
        <v>0</v>
      </c>
      <c r="AM86">
        <v>0</v>
      </c>
      <c r="AN86">
        <v>0</v>
      </c>
      <c r="AO86">
        <v>0</v>
      </c>
      <c r="AP86">
        <v>0</v>
      </c>
      <c r="AQ86">
        <v>2</v>
      </c>
      <c r="AR86">
        <v>0</v>
      </c>
      <c r="AS86">
        <v>0</v>
      </c>
      <c r="AT86">
        <v>0</v>
      </c>
      <c r="AU86">
        <v>2633100</v>
      </c>
      <c r="AV86">
        <v>0</v>
      </c>
      <c r="AW86">
        <v>0</v>
      </c>
      <c r="AX86">
        <v>0</v>
      </c>
      <c r="AY86">
        <v>0</v>
      </c>
      <c r="AZ86">
        <v>0</v>
      </c>
      <c r="BA86">
        <v>0</v>
      </c>
      <c r="BB86">
        <v>-59287</v>
      </c>
      <c r="BC86">
        <v>0</v>
      </c>
      <c r="BD86">
        <v>0</v>
      </c>
      <c r="BE86">
        <v>0</v>
      </c>
      <c r="BF86">
        <v>0</v>
      </c>
      <c r="BG86">
        <v>0</v>
      </c>
      <c r="BH86">
        <v>0</v>
      </c>
      <c r="BI86">
        <v>1</v>
      </c>
      <c r="BJ86">
        <v>0</v>
      </c>
      <c r="BK86">
        <v>0</v>
      </c>
      <c r="BL86">
        <v>0</v>
      </c>
      <c r="BM86">
        <v>0</v>
      </c>
      <c r="BN86">
        <v>51000</v>
      </c>
      <c r="BO86">
        <v>0</v>
      </c>
      <c r="BP86">
        <v>0</v>
      </c>
      <c r="BQ86">
        <v>-1</v>
      </c>
      <c r="BR86">
        <v>179481</v>
      </c>
      <c r="BS86">
        <v>0</v>
      </c>
      <c r="BT86">
        <v>28472946</v>
      </c>
      <c r="BU86">
        <v>0</v>
      </c>
      <c r="BV86">
        <v>0</v>
      </c>
      <c r="BW86">
        <v>0</v>
      </c>
      <c r="BX86">
        <v>0</v>
      </c>
      <c r="BY86">
        <v>0</v>
      </c>
      <c r="BZ86">
        <v>0</v>
      </c>
      <c r="CA86">
        <v>0</v>
      </c>
      <c r="CB86">
        <v>-1</v>
      </c>
      <c r="CC86">
        <v>0</v>
      </c>
      <c r="CD86">
        <v>0</v>
      </c>
    </row>
    <row r="87" spans="1:82" x14ac:dyDescent="0.3">
      <c r="A87" s="155">
        <v>377</v>
      </c>
      <c r="B87" t="s">
        <v>101</v>
      </c>
      <c r="D87">
        <v>0</v>
      </c>
      <c r="E87">
        <v>0</v>
      </c>
      <c r="F87">
        <v>0</v>
      </c>
      <c r="G87">
        <v>0</v>
      </c>
      <c r="H87">
        <v>1</v>
      </c>
      <c r="I87">
        <v>0</v>
      </c>
      <c r="J87">
        <v>0</v>
      </c>
      <c r="K87">
        <v>0</v>
      </c>
      <c r="L87">
        <v>0</v>
      </c>
      <c r="M87">
        <v>0</v>
      </c>
      <c r="N87">
        <v>0</v>
      </c>
      <c r="O87">
        <v>0</v>
      </c>
      <c r="P87">
        <v>0</v>
      </c>
      <c r="Q87">
        <v>0</v>
      </c>
      <c r="R87">
        <v>0</v>
      </c>
      <c r="S87">
        <v>0</v>
      </c>
      <c r="T87">
        <v>0</v>
      </c>
      <c r="U87">
        <v>0</v>
      </c>
      <c r="V87">
        <v>0</v>
      </c>
      <c r="W87">
        <v>0</v>
      </c>
      <c r="X87">
        <v>0</v>
      </c>
      <c r="Y87">
        <v>1420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-165368</v>
      </c>
      <c r="BC87">
        <v>0</v>
      </c>
      <c r="BD87">
        <v>0</v>
      </c>
      <c r="BE87">
        <v>0</v>
      </c>
      <c r="BF87">
        <v>0</v>
      </c>
      <c r="BG87">
        <v>0</v>
      </c>
      <c r="BH87">
        <v>0</v>
      </c>
      <c r="BI87">
        <v>0</v>
      </c>
      <c r="BJ87">
        <v>0</v>
      </c>
      <c r="BK87">
        <v>0</v>
      </c>
      <c r="BL87">
        <v>0</v>
      </c>
      <c r="BM87">
        <v>0</v>
      </c>
      <c r="BN87">
        <v>0</v>
      </c>
      <c r="BO87">
        <v>0</v>
      </c>
      <c r="BP87">
        <v>0</v>
      </c>
      <c r="BQ87">
        <v>0</v>
      </c>
      <c r="BR87">
        <v>-29150</v>
      </c>
      <c r="BS87">
        <v>0</v>
      </c>
      <c r="BT87">
        <v>54384795</v>
      </c>
      <c r="BU87">
        <v>0</v>
      </c>
      <c r="BV87">
        <v>0</v>
      </c>
      <c r="BW87">
        <v>0</v>
      </c>
      <c r="BX87">
        <v>0</v>
      </c>
      <c r="BY87">
        <v>0</v>
      </c>
      <c r="BZ87">
        <v>0</v>
      </c>
      <c r="CA87">
        <v>0</v>
      </c>
      <c r="CB87">
        <v>0</v>
      </c>
      <c r="CC87">
        <v>0</v>
      </c>
      <c r="CD87">
        <v>0</v>
      </c>
    </row>
    <row r="88" spans="1:82" x14ac:dyDescent="0.3">
      <c r="A88" s="155">
        <v>378</v>
      </c>
      <c r="B88" s="551" t="s">
        <v>102</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9290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178888</v>
      </c>
      <c r="BO88">
        <v>0</v>
      </c>
      <c r="BP88">
        <v>0</v>
      </c>
      <c r="BQ88">
        <v>0</v>
      </c>
      <c r="BR88">
        <v>1356119</v>
      </c>
      <c r="BS88">
        <v>0</v>
      </c>
      <c r="BT88">
        <v>0</v>
      </c>
      <c r="BU88">
        <v>0</v>
      </c>
      <c r="BV88">
        <v>0</v>
      </c>
      <c r="BW88">
        <v>0</v>
      </c>
      <c r="BX88">
        <v>0</v>
      </c>
      <c r="BY88">
        <v>0</v>
      </c>
      <c r="BZ88">
        <v>0</v>
      </c>
      <c r="CA88">
        <v>0</v>
      </c>
      <c r="CB88">
        <v>0</v>
      </c>
      <c r="CC88">
        <v>0</v>
      </c>
      <c r="CD88">
        <v>0</v>
      </c>
    </row>
    <row r="89" spans="1:82" x14ac:dyDescent="0.3">
      <c r="A89" s="155">
        <v>379</v>
      </c>
      <c r="B89" t="s">
        <v>110</v>
      </c>
      <c r="D89">
        <v>3795729</v>
      </c>
      <c r="E89">
        <v>1383082</v>
      </c>
      <c r="F89">
        <v>516489</v>
      </c>
      <c r="G89">
        <v>1278571</v>
      </c>
      <c r="H89">
        <v>1286213</v>
      </c>
      <c r="I89">
        <v>223434</v>
      </c>
      <c r="J89">
        <v>130361</v>
      </c>
      <c r="K89">
        <v>526589</v>
      </c>
      <c r="L89">
        <v>4407910</v>
      </c>
      <c r="M89">
        <v>121327868</v>
      </c>
      <c r="N89">
        <v>3604762</v>
      </c>
      <c r="O89">
        <v>7892900</v>
      </c>
      <c r="P89">
        <v>209921</v>
      </c>
      <c r="Q89">
        <v>9993513</v>
      </c>
      <c r="R89">
        <v>222063</v>
      </c>
      <c r="S89">
        <v>701385</v>
      </c>
      <c r="T89">
        <v>1788645</v>
      </c>
      <c r="U89">
        <v>2112815</v>
      </c>
      <c r="V89">
        <v>6383676</v>
      </c>
      <c r="W89">
        <v>1242156</v>
      </c>
      <c r="X89">
        <v>870647</v>
      </c>
      <c r="Y89">
        <v>459280</v>
      </c>
      <c r="Z89">
        <v>37159140</v>
      </c>
      <c r="AA89">
        <v>8580944</v>
      </c>
      <c r="AB89">
        <v>1328480</v>
      </c>
      <c r="AC89">
        <v>33573848</v>
      </c>
      <c r="AD89">
        <v>1022264</v>
      </c>
      <c r="AE89">
        <v>1020651</v>
      </c>
      <c r="AF89">
        <v>57895529</v>
      </c>
      <c r="AG89">
        <v>1175337</v>
      </c>
      <c r="AH89">
        <v>363715</v>
      </c>
      <c r="AI89">
        <v>3684902</v>
      </c>
      <c r="AJ89">
        <v>1648452</v>
      </c>
      <c r="AK89">
        <v>131155</v>
      </c>
      <c r="AL89">
        <v>25436343</v>
      </c>
      <c r="AM89">
        <v>674958</v>
      </c>
      <c r="AN89">
        <v>14807810</v>
      </c>
      <c r="AO89">
        <v>122704</v>
      </c>
      <c r="AP89">
        <v>6572172</v>
      </c>
      <c r="AQ89">
        <v>2807584</v>
      </c>
      <c r="AR89">
        <v>280544</v>
      </c>
      <c r="AS89">
        <v>2618290</v>
      </c>
      <c r="AT89">
        <v>1104299</v>
      </c>
      <c r="AU89">
        <v>123667982</v>
      </c>
      <c r="AV89">
        <v>38602838</v>
      </c>
      <c r="AW89">
        <v>1578568</v>
      </c>
      <c r="AX89">
        <v>292750</v>
      </c>
      <c r="AY89">
        <v>573349</v>
      </c>
      <c r="AZ89">
        <v>202508</v>
      </c>
      <c r="BA89">
        <v>1095914</v>
      </c>
      <c r="BB89">
        <v>5423309</v>
      </c>
      <c r="BC89">
        <v>1364742</v>
      </c>
      <c r="BD89">
        <v>267320</v>
      </c>
      <c r="BE89">
        <v>159606</v>
      </c>
      <c r="BF89">
        <v>8656682</v>
      </c>
      <c r="BG89">
        <v>99787</v>
      </c>
      <c r="BH89">
        <v>17442933</v>
      </c>
      <c r="BI89">
        <v>1591283</v>
      </c>
      <c r="BJ89">
        <v>617493</v>
      </c>
      <c r="BK89">
        <v>551475</v>
      </c>
      <c r="BL89">
        <v>14301345</v>
      </c>
      <c r="BM89">
        <v>10906504</v>
      </c>
      <c r="BN89">
        <v>2107772</v>
      </c>
      <c r="BO89">
        <v>47417076</v>
      </c>
      <c r="BP89">
        <v>48024846</v>
      </c>
      <c r="BQ89">
        <v>392595</v>
      </c>
      <c r="BR89">
        <v>13665583</v>
      </c>
      <c r="BS89">
        <v>2312267</v>
      </c>
      <c r="BT89">
        <v>12997588</v>
      </c>
      <c r="BU89">
        <v>357102</v>
      </c>
      <c r="BV89">
        <v>832460</v>
      </c>
      <c r="BW89">
        <v>4658314</v>
      </c>
      <c r="BX89">
        <v>3120003</v>
      </c>
      <c r="BY89">
        <v>37976970</v>
      </c>
      <c r="BZ89">
        <v>606983</v>
      </c>
      <c r="CA89">
        <v>8964362</v>
      </c>
      <c r="CB89">
        <v>1020694</v>
      </c>
      <c r="CC89">
        <v>3412512</v>
      </c>
      <c r="CD89">
        <v>68702212</v>
      </c>
    </row>
    <row r="90" spans="1:82" x14ac:dyDescent="0.3">
      <c r="A90" s="155">
        <v>380</v>
      </c>
      <c r="B90" t="s">
        <v>113</v>
      </c>
      <c r="D90">
        <v>0</v>
      </c>
      <c r="E90">
        <v>210761</v>
      </c>
      <c r="F90">
        <v>1375</v>
      </c>
      <c r="G90">
        <v>2500</v>
      </c>
      <c r="H90">
        <v>10514</v>
      </c>
      <c r="I90">
        <v>0</v>
      </c>
      <c r="J90">
        <v>360</v>
      </c>
      <c r="K90">
        <v>897</v>
      </c>
      <c r="L90">
        <v>178208</v>
      </c>
      <c r="M90">
        <v>10971395</v>
      </c>
      <c r="N90">
        <v>167</v>
      </c>
      <c r="O90">
        <v>25888</v>
      </c>
      <c r="P90">
        <v>846</v>
      </c>
      <c r="Q90">
        <v>49388</v>
      </c>
      <c r="R90">
        <v>183</v>
      </c>
      <c r="S90">
        <v>26682</v>
      </c>
      <c r="T90">
        <v>3444</v>
      </c>
      <c r="U90">
        <v>11342</v>
      </c>
      <c r="V90">
        <v>147653</v>
      </c>
      <c r="W90">
        <v>0</v>
      </c>
      <c r="X90">
        <v>7575</v>
      </c>
      <c r="Y90">
        <v>63057</v>
      </c>
      <c r="Z90">
        <v>86174</v>
      </c>
      <c r="AA90">
        <v>0</v>
      </c>
      <c r="AB90">
        <v>26114</v>
      </c>
      <c r="AC90">
        <v>105632</v>
      </c>
      <c r="AD90">
        <v>81462</v>
      </c>
      <c r="AE90">
        <v>81934</v>
      </c>
      <c r="AF90">
        <v>4176336</v>
      </c>
      <c r="AG90">
        <v>2299</v>
      </c>
      <c r="AH90">
        <v>8950</v>
      </c>
      <c r="AI90">
        <v>94736</v>
      </c>
      <c r="AJ90">
        <v>3477</v>
      </c>
      <c r="AK90">
        <v>627</v>
      </c>
      <c r="AL90">
        <v>1183714</v>
      </c>
      <c r="AM90">
        <v>3266</v>
      </c>
      <c r="AN90">
        <v>229400</v>
      </c>
      <c r="AO90">
        <v>0</v>
      </c>
      <c r="AP90">
        <v>74405</v>
      </c>
      <c r="AQ90">
        <v>29964</v>
      </c>
      <c r="AR90">
        <v>3571</v>
      </c>
      <c r="AS90">
        <v>40118</v>
      </c>
      <c r="AT90">
        <v>36628</v>
      </c>
      <c r="AU90">
        <v>10237218</v>
      </c>
      <c r="AV90">
        <v>5733648</v>
      </c>
      <c r="AW90">
        <v>46048</v>
      </c>
      <c r="AX90">
        <v>3266</v>
      </c>
      <c r="AY90">
        <v>8962</v>
      </c>
      <c r="AZ90">
        <v>1139</v>
      </c>
      <c r="BA90">
        <v>0</v>
      </c>
      <c r="BB90">
        <v>380727</v>
      </c>
      <c r="BC90">
        <v>1436</v>
      </c>
      <c r="BD90">
        <v>0</v>
      </c>
      <c r="BE90">
        <v>2104</v>
      </c>
      <c r="BF90">
        <v>106277</v>
      </c>
      <c r="BG90">
        <v>0</v>
      </c>
      <c r="BH90">
        <v>640175</v>
      </c>
      <c r="BI90">
        <v>37839</v>
      </c>
      <c r="BJ90">
        <v>3317</v>
      </c>
      <c r="BK90">
        <v>0</v>
      </c>
      <c r="BL90">
        <v>514979</v>
      </c>
      <c r="BM90">
        <v>242493</v>
      </c>
      <c r="BN90">
        <v>75110</v>
      </c>
      <c r="BO90">
        <v>1977423</v>
      </c>
      <c r="BP90">
        <v>1403291</v>
      </c>
      <c r="BQ90">
        <v>13228</v>
      </c>
      <c r="BR90">
        <v>8803772</v>
      </c>
      <c r="BS90">
        <v>1661</v>
      </c>
      <c r="BT90">
        <v>142128</v>
      </c>
      <c r="BU90">
        <v>19995</v>
      </c>
      <c r="BV90">
        <v>18065</v>
      </c>
      <c r="BW90">
        <v>67216</v>
      </c>
      <c r="BX90">
        <v>0</v>
      </c>
      <c r="BY90">
        <v>0</v>
      </c>
      <c r="BZ90">
        <v>871</v>
      </c>
      <c r="CA90">
        <v>86645</v>
      </c>
      <c r="CB90">
        <v>13609</v>
      </c>
      <c r="CC90">
        <v>409726</v>
      </c>
      <c r="CD90">
        <v>2860540</v>
      </c>
    </row>
    <row r="91" spans="1:82" x14ac:dyDescent="0.3">
      <c r="A91" s="155">
        <v>381</v>
      </c>
      <c r="B91" t="s">
        <v>105</v>
      </c>
      <c r="D91">
        <v>10338507</v>
      </c>
      <c r="E91">
        <v>9738306</v>
      </c>
      <c r="F91">
        <v>0</v>
      </c>
      <c r="G91">
        <v>9701950</v>
      </c>
      <c r="H91">
        <v>5344995</v>
      </c>
      <c r="I91">
        <v>458236</v>
      </c>
      <c r="J91">
        <v>0</v>
      </c>
      <c r="K91">
        <v>6403847</v>
      </c>
      <c r="L91">
        <v>44059638</v>
      </c>
      <c r="M91">
        <v>0</v>
      </c>
      <c r="N91">
        <v>0</v>
      </c>
      <c r="O91">
        <v>0</v>
      </c>
      <c r="P91">
        <v>3612755</v>
      </c>
      <c r="Q91">
        <v>52701540</v>
      </c>
      <c r="R91">
        <v>0</v>
      </c>
      <c r="S91">
        <v>3978077</v>
      </c>
      <c r="T91">
        <v>5412153</v>
      </c>
      <c r="U91">
        <v>2102904</v>
      </c>
      <c r="V91">
        <v>33039332</v>
      </c>
      <c r="W91">
        <v>0</v>
      </c>
      <c r="X91">
        <v>5215277</v>
      </c>
      <c r="Y91">
        <v>10369961</v>
      </c>
      <c r="Z91">
        <v>168201140</v>
      </c>
      <c r="AA91">
        <v>1526820</v>
      </c>
      <c r="AB91">
        <v>4255261</v>
      </c>
      <c r="AC91">
        <v>0</v>
      </c>
      <c r="AD91">
        <v>0</v>
      </c>
      <c r="AE91">
        <v>0</v>
      </c>
      <c r="AF91">
        <v>300433004</v>
      </c>
      <c r="AG91">
        <v>1864</v>
      </c>
      <c r="AH91">
        <v>874463</v>
      </c>
      <c r="AI91">
        <v>8331828</v>
      </c>
      <c r="AJ91">
        <v>1414079</v>
      </c>
      <c r="AK91">
        <v>305776</v>
      </c>
      <c r="AL91">
        <v>94856243</v>
      </c>
      <c r="AM91">
        <v>7093195</v>
      </c>
      <c r="AN91">
        <v>65801862</v>
      </c>
      <c r="AO91">
        <v>0</v>
      </c>
      <c r="AP91">
        <v>16128925</v>
      </c>
      <c r="AQ91">
        <v>0</v>
      </c>
      <c r="AR91">
        <v>0</v>
      </c>
      <c r="AS91">
        <v>7541440</v>
      </c>
      <c r="AT91">
        <v>4754903</v>
      </c>
      <c r="AU91">
        <v>1053321061</v>
      </c>
      <c r="AV91">
        <v>373477293</v>
      </c>
      <c r="AW91">
        <v>5318097</v>
      </c>
      <c r="AX91">
        <v>2704188</v>
      </c>
      <c r="AY91">
        <v>2045049</v>
      </c>
      <c r="AZ91">
        <v>3103279</v>
      </c>
      <c r="BA91">
        <v>2811918</v>
      </c>
      <c r="BB91">
        <v>9361922</v>
      </c>
      <c r="BC91">
        <v>3310555</v>
      </c>
      <c r="BD91">
        <v>0</v>
      </c>
      <c r="BE91">
        <v>711779</v>
      </c>
      <c r="BF91">
        <v>50842491</v>
      </c>
      <c r="BG91">
        <v>0</v>
      </c>
      <c r="BH91">
        <v>35092930</v>
      </c>
      <c r="BI91">
        <v>5210179</v>
      </c>
      <c r="BJ91">
        <v>0</v>
      </c>
      <c r="BK91">
        <v>0</v>
      </c>
      <c r="BL91">
        <v>132267559</v>
      </c>
      <c r="BM91">
        <v>122531257</v>
      </c>
      <c r="BN91">
        <v>12339371</v>
      </c>
      <c r="BO91">
        <v>171023903</v>
      </c>
      <c r="BP91">
        <v>428562949</v>
      </c>
      <c r="BQ91">
        <v>5825840</v>
      </c>
      <c r="BR91">
        <v>29538527</v>
      </c>
      <c r="BS91">
        <v>0</v>
      </c>
      <c r="BT91">
        <v>87320738</v>
      </c>
      <c r="BU91">
        <v>2641556</v>
      </c>
      <c r="BV91">
        <v>3245524</v>
      </c>
      <c r="BW91">
        <v>24495953</v>
      </c>
      <c r="BX91">
        <v>0</v>
      </c>
      <c r="BY91">
        <v>199517011</v>
      </c>
      <c r="BZ91">
        <v>2280470</v>
      </c>
      <c r="CA91">
        <v>0</v>
      </c>
      <c r="CB91">
        <v>1863079</v>
      </c>
      <c r="CC91">
        <v>0</v>
      </c>
      <c r="CD91">
        <v>0</v>
      </c>
    </row>
    <row r="92" spans="1:82" x14ac:dyDescent="0.3">
      <c r="A92" s="155">
        <v>382</v>
      </c>
      <c r="B92" s="551" t="s">
        <v>106</v>
      </c>
      <c r="D92">
        <v>0</v>
      </c>
      <c r="E92">
        <v>0</v>
      </c>
      <c r="F92">
        <v>0</v>
      </c>
      <c r="G92">
        <v>0</v>
      </c>
      <c r="H92">
        <v>0</v>
      </c>
      <c r="I92">
        <v>0</v>
      </c>
      <c r="J92">
        <v>0</v>
      </c>
      <c r="K92">
        <v>0</v>
      </c>
      <c r="L92">
        <v>5722658</v>
      </c>
      <c r="M92">
        <v>0</v>
      </c>
      <c r="N92">
        <v>0</v>
      </c>
      <c r="O92">
        <v>0</v>
      </c>
      <c r="P92">
        <v>0</v>
      </c>
      <c r="Q92">
        <v>7713731</v>
      </c>
      <c r="R92">
        <v>0</v>
      </c>
      <c r="S92">
        <v>1265364</v>
      </c>
      <c r="T92">
        <v>0</v>
      </c>
      <c r="U92">
        <v>0</v>
      </c>
      <c r="V92">
        <v>0</v>
      </c>
      <c r="W92">
        <v>0</v>
      </c>
      <c r="X92">
        <v>0</v>
      </c>
      <c r="Y92">
        <v>1022735</v>
      </c>
      <c r="Z92">
        <v>0</v>
      </c>
      <c r="AA92">
        <v>0</v>
      </c>
      <c r="AB92">
        <v>0</v>
      </c>
      <c r="AC92">
        <v>0</v>
      </c>
      <c r="AD92">
        <v>0</v>
      </c>
      <c r="AE92">
        <v>0</v>
      </c>
      <c r="AF92">
        <v>122721353</v>
      </c>
      <c r="AG92">
        <v>0</v>
      </c>
      <c r="AH92">
        <v>0</v>
      </c>
      <c r="AI92">
        <v>0</v>
      </c>
      <c r="AJ92">
        <v>0</v>
      </c>
      <c r="AK92">
        <v>0</v>
      </c>
      <c r="AL92">
        <v>0</v>
      </c>
      <c r="AM92">
        <v>0</v>
      </c>
      <c r="AN92">
        <v>0</v>
      </c>
      <c r="AO92">
        <v>0</v>
      </c>
      <c r="AP92">
        <v>11440731</v>
      </c>
      <c r="AQ92">
        <v>0</v>
      </c>
      <c r="AR92">
        <v>0</v>
      </c>
      <c r="AS92">
        <v>0</v>
      </c>
      <c r="AT92">
        <v>0</v>
      </c>
      <c r="AU92">
        <v>0</v>
      </c>
      <c r="AV92">
        <v>270698712</v>
      </c>
      <c r="AW92">
        <v>0</v>
      </c>
      <c r="AX92">
        <v>0</v>
      </c>
      <c r="AY92">
        <v>0</v>
      </c>
      <c r="AZ92">
        <v>0</v>
      </c>
      <c r="BA92">
        <v>653243</v>
      </c>
      <c r="BB92">
        <v>0</v>
      </c>
      <c r="BC92">
        <v>0</v>
      </c>
      <c r="BD92">
        <v>0</v>
      </c>
      <c r="BE92">
        <v>0</v>
      </c>
      <c r="BF92">
        <v>0</v>
      </c>
      <c r="BG92">
        <v>0</v>
      </c>
      <c r="BH92">
        <v>0</v>
      </c>
      <c r="BI92">
        <v>0</v>
      </c>
      <c r="BJ92">
        <v>0</v>
      </c>
      <c r="BK92">
        <v>0</v>
      </c>
      <c r="BL92">
        <v>0</v>
      </c>
      <c r="BM92">
        <v>0</v>
      </c>
      <c r="BN92">
        <v>2378919</v>
      </c>
      <c r="BO92">
        <v>0</v>
      </c>
      <c r="BP92">
        <v>196914737</v>
      </c>
      <c r="BQ92">
        <v>0</v>
      </c>
      <c r="BR92">
        <v>10374949</v>
      </c>
      <c r="BS92">
        <v>0</v>
      </c>
      <c r="BT92">
        <v>0</v>
      </c>
      <c r="BU92">
        <v>507385</v>
      </c>
      <c r="BV92">
        <v>0</v>
      </c>
      <c r="BW92">
        <v>0</v>
      </c>
      <c r="BX92">
        <v>0</v>
      </c>
      <c r="BY92">
        <v>0</v>
      </c>
      <c r="BZ92">
        <v>997313</v>
      </c>
      <c r="CA92">
        <v>0</v>
      </c>
      <c r="CB92">
        <v>0</v>
      </c>
      <c r="CC92">
        <v>0</v>
      </c>
      <c r="CD92">
        <v>35412155</v>
      </c>
    </row>
    <row r="93" spans="1:82" x14ac:dyDescent="0.3">
      <c r="A93" s="155">
        <v>383</v>
      </c>
      <c r="B93" t="s">
        <v>212</v>
      </c>
      <c r="D93">
        <v>0</v>
      </c>
      <c r="E93">
        <v>0</v>
      </c>
      <c r="F93">
        <v>0</v>
      </c>
      <c r="G93">
        <v>0</v>
      </c>
      <c r="H93">
        <v>0</v>
      </c>
      <c r="I93">
        <v>0</v>
      </c>
      <c r="J93">
        <v>0</v>
      </c>
      <c r="K93">
        <v>24455</v>
      </c>
      <c r="L93">
        <v>0</v>
      </c>
      <c r="M93">
        <v>0</v>
      </c>
      <c r="N93">
        <v>0</v>
      </c>
      <c r="O93">
        <v>0</v>
      </c>
      <c r="P93">
        <v>0</v>
      </c>
      <c r="Q93">
        <v>0</v>
      </c>
      <c r="R93">
        <v>0</v>
      </c>
      <c r="S93">
        <v>0</v>
      </c>
      <c r="T93">
        <v>0</v>
      </c>
      <c r="U93">
        <v>0</v>
      </c>
      <c r="V93">
        <v>0</v>
      </c>
      <c r="W93">
        <v>0</v>
      </c>
      <c r="X93">
        <v>0</v>
      </c>
      <c r="Y93">
        <v>0</v>
      </c>
      <c r="Z93">
        <v>0</v>
      </c>
      <c r="AA93">
        <v>0</v>
      </c>
      <c r="AB93">
        <v>0</v>
      </c>
      <c r="AC93">
        <v>0</v>
      </c>
      <c r="AD93">
        <v>0</v>
      </c>
      <c r="AE93">
        <v>0</v>
      </c>
      <c r="AF93">
        <v>56533</v>
      </c>
      <c r="AG93">
        <v>0</v>
      </c>
      <c r="AH93">
        <v>0</v>
      </c>
      <c r="AI93">
        <v>0</v>
      </c>
      <c r="AJ93">
        <v>0</v>
      </c>
      <c r="AK93">
        <v>0</v>
      </c>
      <c r="AL93">
        <v>10490</v>
      </c>
      <c r="AM93">
        <v>0</v>
      </c>
      <c r="AN93">
        <v>0</v>
      </c>
      <c r="AO93">
        <v>0</v>
      </c>
      <c r="AP93">
        <v>0</v>
      </c>
      <c r="AQ93">
        <v>0</v>
      </c>
      <c r="AR93">
        <v>0</v>
      </c>
      <c r="AS93">
        <v>0</v>
      </c>
      <c r="AT93">
        <v>0</v>
      </c>
      <c r="AU93">
        <v>0</v>
      </c>
      <c r="AV93">
        <v>28680</v>
      </c>
      <c r="AW93">
        <v>0</v>
      </c>
      <c r="AX93">
        <v>0</v>
      </c>
      <c r="AY93">
        <v>200000</v>
      </c>
      <c r="AZ93">
        <v>0</v>
      </c>
      <c r="BA93">
        <v>0</v>
      </c>
      <c r="BB93">
        <v>0</v>
      </c>
      <c r="BC93">
        <v>0</v>
      </c>
      <c r="BD93">
        <v>0</v>
      </c>
      <c r="BE93">
        <v>0</v>
      </c>
      <c r="BF93">
        <v>0</v>
      </c>
      <c r="BG93">
        <v>0</v>
      </c>
      <c r="BH93">
        <v>0</v>
      </c>
      <c r="BI93">
        <v>0</v>
      </c>
      <c r="BJ93">
        <v>0</v>
      </c>
      <c r="BK93">
        <v>0</v>
      </c>
      <c r="BL93">
        <v>0</v>
      </c>
      <c r="BM93">
        <v>0</v>
      </c>
      <c r="BN93">
        <v>0</v>
      </c>
      <c r="BO93">
        <v>141917</v>
      </c>
      <c r="BP93">
        <v>0</v>
      </c>
      <c r="BQ93">
        <v>0</v>
      </c>
      <c r="BR93">
        <v>0</v>
      </c>
      <c r="BS93">
        <v>0</v>
      </c>
      <c r="BT93">
        <v>1057636</v>
      </c>
      <c r="BU93">
        <v>0</v>
      </c>
      <c r="BV93">
        <v>0</v>
      </c>
      <c r="BW93">
        <v>0</v>
      </c>
      <c r="BX93">
        <v>0</v>
      </c>
      <c r="BY93">
        <v>0</v>
      </c>
      <c r="BZ93">
        <v>0</v>
      </c>
      <c r="CA93">
        <v>0</v>
      </c>
      <c r="CB93">
        <v>0</v>
      </c>
      <c r="CC93">
        <v>0</v>
      </c>
      <c r="CD93">
        <v>0</v>
      </c>
    </row>
    <row r="94" spans="1:82" x14ac:dyDescent="0.3">
      <c r="A94" s="155">
        <v>384</v>
      </c>
      <c r="B94" s="551" t="s">
        <v>116</v>
      </c>
      <c r="D94">
        <v>0</v>
      </c>
      <c r="E94">
        <v>0</v>
      </c>
      <c r="F94">
        <v>0</v>
      </c>
      <c r="G94">
        <v>0</v>
      </c>
      <c r="H94">
        <v>0</v>
      </c>
      <c r="I94">
        <v>0</v>
      </c>
      <c r="J94">
        <v>0</v>
      </c>
      <c r="K94">
        <v>0</v>
      </c>
      <c r="L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row>
    <row r="95" spans="1:82" x14ac:dyDescent="0.3">
      <c r="A95" s="155">
        <v>385</v>
      </c>
      <c r="B95" t="s">
        <v>107</v>
      </c>
      <c r="D95">
        <v>6760770</v>
      </c>
      <c r="E95">
        <v>3748137</v>
      </c>
      <c r="F95">
        <v>2700422</v>
      </c>
      <c r="G95">
        <v>2352506</v>
      </c>
      <c r="H95">
        <v>1878337</v>
      </c>
      <c r="I95">
        <v>755285</v>
      </c>
      <c r="J95">
        <v>201013</v>
      </c>
      <c r="K95">
        <v>754177</v>
      </c>
      <c r="L95">
        <v>19509944</v>
      </c>
      <c r="M95">
        <v>727736910</v>
      </c>
      <c r="N95">
        <v>8156564</v>
      </c>
      <c r="O95">
        <v>30165158</v>
      </c>
      <c r="P95">
        <v>979671</v>
      </c>
      <c r="Q95">
        <v>36853735</v>
      </c>
      <c r="R95">
        <v>380400</v>
      </c>
      <c r="S95">
        <v>1161725</v>
      </c>
      <c r="T95">
        <v>4729215</v>
      </c>
      <c r="U95">
        <v>3692154</v>
      </c>
      <c r="V95">
        <v>15352732</v>
      </c>
      <c r="W95">
        <v>3697277</v>
      </c>
      <c r="X95">
        <v>1859332</v>
      </c>
      <c r="Y95">
        <v>2086744</v>
      </c>
      <c r="Z95">
        <v>263357931</v>
      </c>
      <c r="AA95">
        <v>11045725</v>
      </c>
      <c r="AB95">
        <v>1689743</v>
      </c>
      <c r="AC95">
        <v>157377396</v>
      </c>
      <c r="AD95">
        <v>2754017</v>
      </c>
      <c r="AE95">
        <v>1608890</v>
      </c>
      <c r="AF95">
        <v>309034244</v>
      </c>
      <c r="AG95">
        <v>1384847</v>
      </c>
      <c r="AH95">
        <v>672913</v>
      </c>
      <c r="AI95">
        <v>12814995</v>
      </c>
      <c r="AJ95">
        <v>2276871</v>
      </c>
      <c r="AK95">
        <v>808774</v>
      </c>
      <c r="AL95">
        <v>122260602</v>
      </c>
      <c r="AM95">
        <v>1463742</v>
      </c>
      <c r="AN95">
        <v>44625275</v>
      </c>
      <c r="AO95">
        <v>122704</v>
      </c>
      <c r="AP95">
        <v>13615398</v>
      </c>
      <c r="AQ95">
        <v>7491727</v>
      </c>
      <c r="AR95">
        <v>2351257</v>
      </c>
      <c r="AS95">
        <v>6279348</v>
      </c>
      <c r="AT95">
        <v>1367155</v>
      </c>
      <c r="AU95">
        <v>1039143080</v>
      </c>
      <c r="AV95">
        <v>410166817</v>
      </c>
      <c r="AW95">
        <v>4087727</v>
      </c>
      <c r="AX95">
        <v>869710</v>
      </c>
      <c r="AY95">
        <v>809701</v>
      </c>
      <c r="AZ95">
        <v>347876</v>
      </c>
      <c r="BA95">
        <v>1479460</v>
      </c>
      <c r="BB95">
        <v>15200861</v>
      </c>
      <c r="BC95">
        <v>2215230</v>
      </c>
      <c r="BD95">
        <v>485761</v>
      </c>
      <c r="BE95">
        <v>183616</v>
      </c>
      <c r="BF95">
        <v>69556655</v>
      </c>
      <c r="BG95">
        <v>126897</v>
      </c>
      <c r="BH95">
        <v>38705955</v>
      </c>
      <c r="BI95">
        <v>9796535</v>
      </c>
      <c r="BJ95">
        <v>1248700</v>
      </c>
      <c r="BK95">
        <v>741087</v>
      </c>
      <c r="BL95">
        <v>40444734</v>
      </c>
      <c r="BM95">
        <v>61894845</v>
      </c>
      <c r="BN95">
        <v>4210347</v>
      </c>
      <c r="BO95">
        <v>238755032</v>
      </c>
      <c r="BP95">
        <v>434835761</v>
      </c>
      <c r="BQ95">
        <v>1510454</v>
      </c>
      <c r="BR95">
        <v>44422456</v>
      </c>
      <c r="BS95">
        <v>6722480</v>
      </c>
      <c r="BT95">
        <v>40756028</v>
      </c>
      <c r="BU95">
        <v>1856605</v>
      </c>
      <c r="BV95">
        <v>1605744</v>
      </c>
      <c r="BW95">
        <v>53214873</v>
      </c>
      <c r="BX95">
        <v>6478103</v>
      </c>
      <c r="BY95">
        <v>276363406</v>
      </c>
      <c r="BZ95">
        <v>1705971</v>
      </c>
      <c r="CA95">
        <v>59421255</v>
      </c>
      <c r="CB95">
        <v>1647711</v>
      </c>
      <c r="CC95">
        <v>9161442</v>
      </c>
      <c r="CD95">
        <v>223732262</v>
      </c>
    </row>
    <row r="96" spans="1:82" x14ac:dyDescent="0.3">
      <c r="A96" s="155">
        <v>386</v>
      </c>
      <c r="B96" t="s">
        <v>185</v>
      </c>
      <c r="D96">
        <v>0</v>
      </c>
      <c r="E96">
        <v>0</v>
      </c>
      <c r="F96">
        <v>131426</v>
      </c>
      <c r="G96">
        <v>0</v>
      </c>
      <c r="H96">
        <v>0</v>
      </c>
      <c r="I96">
        <v>0</v>
      </c>
      <c r="J96">
        <v>0</v>
      </c>
      <c r="K96">
        <v>0</v>
      </c>
      <c r="L96">
        <v>433273</v>
      </c>
      <c r="M96">
        <v>0</v>
      </c>
      <c r="N96">
        <v>0</v>
      </c>
      <c r="O96">
        <v>0</v>
      </c>
      <c r="P96">
        <v>0</v>
      </c>
      <c r="Q96">
        <v>2425639</v>
      </c>
      <c r="R96">
        <v>0</v>
      </c>
      <c r="S96">
        <v>0</v>
      </c>
      <c r="T96">
        <v>0</v>
      </c>
      <c r="U96">
        <v>0</v>
      </c>
      <c r="V96">
        <v>46759</v>
      </c>
      <c r="W96">
        <v>0</v>
      </c>
      <c r="X96">
        <v>0</v>
      </c>
      <c r="Y96">
        <v>119681</v>
      </c>
      <c r="Z96">
        <v>256800</v>
      </c>
      <c r="AA96">
        <v>0</v>
      </c>
      <c r="AB96">
        <v>0</v>
      </c>
      <c r="AC96">
        <v>0</v>
      </c>
      <c r="AD96">
        <v>0</v>
      </c>
      <c r="AE96">
        <v>0</v>
      </c>
      <c r="AF96">
        <v>4155792</v>
      </c>
      <c r="AG96">
        <v>0</v>
      </c>
      <c r="AH96">
        <v>0</v>
      </c>
      <c r="AI96">
        <v>0</v>
      </c>
      <c r="AJ96">
        <v>0</v>
      </c>
      <c r="AK96">
        <v>1205</v>
      </c>
      <c r="AL96">
        <v>0</v>
      </c>
      <c r="AM96">
        <v>0</v>
      </c>
      <c r="AN96">
        <v>0</v>
      </c>
      <c r="AO96">
        <v>0</v>
      </c>
      <c r="AP96">
        <v>0</v>
      </c>
      <c r="AQ96">
        <v>0</v>
      </c>
      <c r="AR96">
        <v>0</v>
      </c>
      <c r="AS96">
        <v>0</v>
      </c>
      <c r="AT96">
        <v>0</v>
      </c>
      <c r="AU96">
        <v>56223038</v>
      </c>
      <c r="AV96">
        <v>6865032</v>
      </c>
      <c r="AW96">
        <v>0</v>
      </c>
      <c r="AX96">
        <v>0</v>
      </c>
      <c r="AY96">
        <v>0</v>
      </c>
      <c r="AZ96">
        <v>0</v>
      </c>
      <c r="BA96">
        <v>0</v>
      </c>
      <c r="BB96">
        <v>0</v>
      </c>
      <c r="BC96">
        <v>0</v>
      </c>
      <c r="BD96">
        <v>0</v>
      </c>
      <c r="BE96">
        <v>0</v>
      </c>
      <c r="BF96">
        <v>0</v>
      </c>
      <c r="BG96">
        <v>0</v>
      </c>
      <c r="BH96">
        <v>0</v>
      </c>
      <c r="BI96">
        <v>0</v>
      </c>
      <c r="BJ96">
        <v>0</v>
      </c>
      <c r="BK96">
        <v>0</v>
      </c>
      <c r="BL96">
        <v>444331</v>
      </c>
      <c r="BM96">
        <v>0</v>
      </c>
      <c r="BN96">
        <v>84000</v>
      </c>
      <c r="BO96">
        <v>2250614</v>
      </c>
      <c r="BP96">
        <v>1255104</v>
      </c>
      <c r="BQ96">
        <v>0</v>
      </c>
      <c r="BR96">
        <v>0</v>
      </c>
      <c r="BS96">
        <v>0</v>
      </c>
      <c r="BT96">
        <v>0</v>
      </c>
      <c r="BU96">
        <v>7000</v>
      </c>
      <c r="BV96">
        <v>0</v>
      </c>
      <c r="BW96">
        <v>0</v>
      </c>
      <c r="BX96">
        <v>0</v>
      </c>
      <c r="BY96">
        <v>917050</v>
      </c>
      <c r="BZ96">
        <v>0</v>
      </c>
      <c r="CA96">
        <v>0</v>
      </c>
      <c r="CB96">
        <v>0</v>
      </c>
      <c r="CC96">
        <v>0</v>
      </c>
      <c r="CD96">
        <v>0</v>
      </c>
    </row>
    <row r="97" spans="1:82" x14ac:dyDescent="0.3">
      <c r="A97" s="155">
        <v>387</v>
      </c>
      <c r="B97" t="s">
        <v>186</v>
      </c>
      <c r="D97">
        <v>36650</v>
      </c>
      <c r="E97">
        <v>0</v>
      </c>
      <c r="F97">
        <v>131426</v>
      </c>
      <c r="G97">
        <v>0</v>
      </c>
      <c r="H97">
        <v>0</v>
      </c>
      <c r="I97">
        <v>0</v>
      </c>
      <c r="J97">
        <v>0</v>
      </c>
      <c r="K97">
        <v>6775</v>
      </c>
      <c r="L97">
        <v>0</v>
      </c>
      <c r="M97">
        <v>2858671</v>
      </c>
      <c r="N97">
        <v>0</v>
      </c>
      <c r="O97">
        <v>0</v>
      </c>
      <c r="P97">
        <v>0</v>
      </c>
      <c r="Q97">
        <v>0</v>
      </c>
      <c r="R97">
        <v>0</v>
      </c>
      <c r="S97">
        <v>0</v>
      </c>
      <c r="T97">
        <v>93500</v>
      </c>
      <c r="U97">
        <v>0</v>
      </c>
      <c r="V97">
        <v>70871</v>
      </c>
      <c r="W97">
        <v>0</v>
      </c>
      <c r="X97">
        <v>25020</v>
      </c>
      <c r="Y97">
        <v>0</v>
      </c>
      <c r="Z97">
        <v>0</v>
      </c>
      <c r="AA97">
        <v>37544</v>
      </c>
      <c r="AB97">
        <v>0</v>
      </c>
      <c r="AC97">
        <v>0</v>
      </c>
      <c r="AD97">
        <v>0</v>
      </c>
      <c r="AE97">
        <v>0</v>
      </c>
      <c r="AF97">
        <v>5217217</v>
      </c>
      <c r="AG97">
        <v>0</v>
      </c>
      <c r="AH97">
        <v>0</v>
      </c>
      <c r="AI97">
        <v>0</v>
      </c>
      <c r="AJ97">
        <v>0</v>
      </c>
      <c r="AK97">
        <v>0</v>
      </c>
      <c r="AL97">
        <v>290592</v>
      </c>
      <c r="AM97">
        <v>0</v>
      </c>
      <c r="AN97">
        <v>0</v>
      </c>
      <c r="AO97">
        <v>0</v>
      </c>
      <c r="AP97">
        <v>0</v>
      </c>
      <c r="AQ97">
        <v>0</v>
      </c>
      <c r="AR97">
        <v>0</v>
      </c>
      <c r="AS97">
        <v>0</v>
      </c>
      <c r="AT97">
        <v>0</v>
      </c>
      <c r="AU97">
        <v>73198884</v>
      </c>
      <c r="AV97">
        <v>0</v>
      </c>
      <c r="AW97">
        <v>21168</v>
      </c>
      <c r="AX97">
        <v>29123</v>
      </c>
      <c r="AY97">
        <v>70277</v>
      </c>
      <c r="AZ97">
        <v>0</v>
      </c>
      <c r="BA97">
        <v>0</v>
      </c>
      <c r="BB97">
        <v>0</v>
      </c>
      <c r="BC97">
        <v>94812</v>
      </c>
      <c r="BD97">
        <v>0</v>
      </c>
      <c r="BE97">
        <v>0</v>
      </c>
      <c r="BF97">
        <v>0</v>
      </c>
      <c r="BG97">
        <v>0</v>
      </c>
      <c r="BH97">
        <v>205051</v>
      </c>
      <c r="BI97">
        <v>0</v>
      </c>
      <c r="BJ97">
        <v>0</v>
      </c>
      <c r="BK97">
        <v>0</v>
      </c>
      <c r="BL97">
        <v>1982301</v>
      </c>
      <c r="BM97">
        <v>350000</v>
      </c>
      <c r="BN97">
        <v>0</v>
      </c>
      <c r="BO97">
        <v>0</v>
      </c>
      <c r="BP97">
        <v>0</v>
      </c>
      <c r="BQ97">
        <v>0</v>
      </c>
      <c r="BR97">
        <v>15698</v>
      </c>
      <c r="BS97">
        <v>0</v>
      </c>
      <c r="BT97">
        <v>0</v>
      </c>
      <c r="BU97">
        <v>0</v>
      </c>
      <c r="BV97">
        <v>33909</v>
      </c>
      <c r="BW97">
        <v>0</v>
      </c>
      <c r="BX97">
        <v>0</v>
      </c>
      <c r="BY97">
        <v>0</v>
      </c>
      <c r="BZ97">
        <v>0</v>
      </c>
      <c r="CA97">
        <v>0</v>
      </c>
      <c r="CB97">
        <v>91944</v>
      </c>
      <c r="CC97">
        <v>0</v>
      </c>
      <c r="CD97">
        <v>0</v>
      </c>
    </row>
    <row r="98" spans="1:82" x14ac:dyDescent="0.3">
      <c r="A98" s="155">
        <v>388</v>
      </c>
      <c r="B98" t="s">
        <v>180</v>
      </c>
      <c r="D98">
        <v>2783257</v>
      </c>
      <c r="E98">
        <v>2467804</v>
      </c>
      <c r="F98">
        <v>362383</v>
      </c>
      <c r="G98">
        <v>824774</v>
      </c>
      <c r="H98">
        <v>608932</v>
      </c>
      <c r="I98">
        <v>225876</v>
      </c>
      <c r="J98">
        <v>53803</v>
      </c>
      <c r="K98">
        <v>82497</v>
      </c>
      <c r="L98">
        <v>6192548</v>
      </c>
      <c r="M98">
        <v>196517520</v>
      </c>
      <c r="N98">
        <v>2160271</v>
      </c>
      <c r="O98">
        <v>7443445</v>
      </c>
      <c r="P98">
        <v>146383</v>
      </c>
      <c r="Q98">
        <v>14887582</v>
      </c>
      <c r="R98">
        <v>92690</v>
      </c>
      <c r="S98">
        <v>336246</v>
      </c>
      <c r="T98">
        <v>2121507</v>
      </c>
      <c r="U98">
        <v>1062574</v>
      </c>
      <c r="V98">
        <v>4719225</v>
      </c>
      <c r="W98">
        <v>2688908</v>
      </c>
      <c r="X98">
        <v>746221</v>
      </c>
      <c r="Y98">
        <v>1332139</v>
      </c>
      <c r="Z98">
        <v>41539938</v>
      </c>
      <c r="AA98">
        <v>641377</v>
      </c>
      <c r="AB98">
        <v>702186</v>
      </c>
      <c r="AC98">
        <v>44870575</v>
      </c>
      <c r="AD98">
        <v>733804</v>
      </c>
      <c r="AE98">
        <v>657647</v>
      </c>
      <c r="AF98">
        <v>87113077</v>
      </c>
      <c r="AG98">
        <v>148700</v>
      </c>
      <c r="AH98">
        <v>263470</v>
      </c>
      <c r="AI98">
        <v>7941280</v>
      </c>
      <c r="AJ98">
        <v>939674</v>
      </c>
      <c r="AK98">
        <v>96774</v>
      </c>
      <c r="AL98">
        <v>38564230</v>
      </c>
      <c r="AM98">
        <v>176272</v>
      </c>
      <c r="AN98">
        <v>15161124</v>
      </c>
      <c r="AO98">
        <v>44268</v>
      </c>
      <c r="AP98">
        <v>4325347</v>
      </c>
      <c r="AQ98">
        <v>2695369</v>
      </c>
      <c r="AR98">
        <v>58174</v>
      </c>
      <c r="AS98">
        <v>1256737</v>
      </c>
      <c r="AT98">
        <v>751827</v>
      </c>
      <c r="AU98">
        <v>366930006</v>
      </c>
      <c r="AV98">
        <v>98642556</v>
      </c>
      <c r="AW98">
        <v>1807719</v>
      </c>
      <c r="AX98">
        <v>360975</v>
      </c>
      <c r="AY98">
        <v>343679</v>
      </c>
      <c r="AZ98">
        <v>253149</v>
      </c>
      <c r="BA98">
        <v>429366</v>
      </c>
      <c r="BB98">
        <v>6707072</v>
      </c>
      <c r="BC98">
        <v>238366</v>
      </c>
      <c r="BD98">
        <v>122760</v>
      </c>
      <c r="BE98">
        <v>50761</v>
      </c>
      <c r="BF98">
        <v>15129316</v>
      </c>
      <c r="BG98">
        <v>17695</v>
      </c>
      <c r="BH98">
        <v>11878705</v>
      </c>
      <c r="BI98">
        <v>2515254</v>
      </c>
      <c r="BJ98">
        <v>267522</v>
      </c>
      <c r="BK98">
        <v>111843</v>
      </c>
      <c r="BL98">
        <v>17725642</v>
      </c>
      <c r="BM98">
        <v>21499891</v>
      </c>
      <c r="BN98">
        <v>1585413</v>
      </c>
      <c r="BO98">
        <v>66029346</v>
      </c>
      <c r="BP98">
        <v>154691758</v>
      </c>
      <c r="BQ98">
        <v>331339</v>
      </c>
      <c r="BR98">
        <v>6372913</v>
      </c>
      <c r="BS98">
        <v>1118564</v>
      </c>
      <c r="BT98">
        <v>10966927</v>
      </c>
      <c r="BU98">
        <v>215577</v>
      </c>
      <c r="BV98">
        <v>305716</v>
      </c>
      <c r="BW98">
        <v>30974744</v>
      </c>
      <c r="BX98">
        <v>3605557</v>
      </c>
      <c r="BY98">
        <v>67164714</v>
      </c>
      <c r="BZ98">
        <v>401918</v>
      </c>
      <c r="CA98">
        <v>16615906</v>
      </c>
      <c r="CB98">
        <v>489225</v>
      </c>
      <c r="CC98">
        <v>3493319</v>
      </c>
      <c r="CD98">
        <v>56570138</v>
      </c>
    </row>
    <row r="99" spans="1:82" x14ac:dyDescent="0.3">
      <c r="A99" s="155">
        <v>389</v>
      </c>
      <c r="B99" t="s">
        <v>187</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row>
    <row r="100" spans="1:82" x14ac:dyDescent="0.3">
      <c r="A100" s="155">
        <v>391</v>
      </c>
      <c r="B100" t="s">
        <v>192</v>
      </c>
      <c r="D100">
        <v>69460</v>
      </c>
      <c r="E100">
        <v>240513</v>
      </c>
      <c r="F100">
        <v>39961</v>
      </c>
      <c r="G100">
        <v>84434</v>
      </c>
      <c r="H100">
        <v>91225</v>
      </c>
      <c r="I100">
        <v>28699</v>
      </c>
      <c r="J100">
        <v>5396</v>
      </c>
      <c r="K100">
        <v>11780</v>
      </c>
      <c r="L100">
        <v>556098</v>
      </c>
      <c r="M100">
        <v>42146935</v>
      </c>
      <c r="N100">
        <v>204239</v>
      </c>
      <c r="O100">
        <v>959425</v>
      </c>
      <c r="P100">
        <v>34870</v>
      </c>
      <c r="Q100">
        <v>1386787</v>
      </c>
      <c r="R100">
        <v>10913</v>
      </c>
      <c r="S100">
        <v>19889</v>
      </c>
      <c r="T100">
        <v>330712</v>
      </c>
      <c r="U100">
        <v>134679</v>
      </c>
      <c r="V100">
        <v>542905</v>
      </c>
      <c r="W100">
        <v>355521</v>
      </c>
      <c r="X100">
        <v>203474</v>
      </c>
      <c r="Y100">
        <v>86479</v>
      </c>
      <c r="Z100">
        <v>3963990</v>
      </c>
      <c r="AA100">
        <v>202081</v>
      </c>
      <c r="AB100">
        <v>92523</v>
      </c>
      <c r="AC100">
        <v>4333751</v>
      </c>
      <c r="AD100">
        <v>43151</v>
      </c>
      <c r="AE100">
        <v>80713</v>
      </c>
      <c r="AF100">
        <v>11525343</v>
      </c>
      <c r="AG100">
        <v>23122</v>
      </c>
      <c r="AH100">
        <v>27733</v>
      </c>
      <c r="AI100">
        <v>642664</v>
      </c>
      <c r="AJ100">
        <v>274687</v>
      </c>
      <c r="AK100">
        <v>6262</v>
      </c>
      <c r="AL100">
        <v>7623656</v>
      </c>
      <c r="AM100">
        <v>16883</v>
      </c>
      <c r="AN100">
        <v>2345776</v>
      </c>
      <c r="AO100">
        <v>9164</v>
      </c>
      <c r="AP100">
        <v>393979</v>
      </c>
      <c r="AQ100">
        <v>345217</v>
      </c>
      <c r="AR100">
        <v>7506</v>
      </c>
      <c r="AS100">
        <v>501742</v>
      </c>
      <c r="AT100">
        <v>37757</v>
      </c>
      <c r="AU100">
        <v>43457687</v>
      </c>
      <c r="AV100">
        <v>8316391</v>
      </c>
      <c r="AW100">
        <v>167056</v>
      </c>
      <c r="AX100">
        <v>83062</v>
      </c>
      <c r="AY100">
        <v>39836</v>
      </c>
      <c r="AZ100">
        <v>16925</v>
      </c>
      <c r="BA100">
        <v>183803</v>
      </c>
      <c r="BB100">
        <v>659601</v>
      </c>
      <c r="BC100">
        <v>42861</v>
      </c>
      <c r="BD100">
        <v>26948</v>
      </c>
      <c r="BE100">
        <v>8906</v>
      </c>
      <c r="BF100">
        <v>1702207</v>
      </c>
      <c r="BG100">
        <v>5355</v>
      </c>
      <c r="BH100">
        <v>1733372</v>
      </c>
      <c r="BI100">
        <v>253923</v>
      </c>
      <c r="BJ100">
        <v>21705</v>
      </c>
      <c r="BK100">
        <v>14396</v>
      </c>
      <c r="BL100">
        <v>1831080</v>
      </c>
      <c r="BM100">
        <v>3947831</v>
      </c>
      <c r="BN100">
        <v>430181</v>
      </c>
      <c r="BO100">
        <v>12460033</v>
      </c>
      <c r="BP100">
        <v>12758112</v>
      </c>
      <c r="BQ100">
        <v>19058</v>
      </c>
      <c r="BR100">
        <v>655098</v>
      </c>
      <c r="BS100">
        <v>319210</v>
      </c>
      <c r="BT100">
        <v>2458060</v>
      </c>
      <c r="BU100">
        <v>13618</v>
      </c>
      <c r="BV100">
        <v>9577</v>
      </c>
      <c r="BW100">
        <v>622734</v>
      </c>
      <c r="BX100">
        <v>321778</v>
      </c>
      <c r="BY100">
        <v>7918199</v>
      </c>
      <c r="BZ100">
        <v>224442</v>
      </c>
      <c r="CA100">
        <v>1681963</v>
      </c>
      <c r="CB100">
        <v>129960</v>
      </c>
      <c r="CC100">
        <v>334154</v>
      </c>
      <c r="CD100">
        <v>15753774</v>
      </c>
    </row>
    <row r="101" spans="1:82" x14ac:dyDescent="0.3">
      <c r="A101" s="155">
        <v>500</v>
      </c>
      <c r="B101" t="s">
        <v>175</v>
      </c>
      <c r="D101">
        <v>3203956</v>
      </c>
      <c r="E101">
        <v>587396</v>
      </c>
      <c r="F101">
        <v>270964</v>
      </c>
      <c r="G101">
        <v>153785</v>
      </c>
      <c r="H101">
        <v>122192</v>
      </c>
      <c r="I101">
        <v>42177</v>
      </c>
      <c r="J101">
        <v>17364</v>
      </c>
      <c r="K101">
        <v>202684</v>
      </c>
      <c r="L101">
        <v>1749770</v>
      </c>
      <c r="M101">
        <v>77352734</v>
      </c>
      <c r="N101">
        <v>224931</v>
      </c>
      <c r="O101">
        <v>1799038</v>
      </c>
      <c r="P101">
        <v>36851</v>
      </c>
      <c r="Q101">
        <v>2737538</v>
      </c>
      <c r="R101">
        <v>45065</v>
      </c>
      <c r="S101">
        <v>108490</v>
      </c>
      <c r="T101">
        <v>28652</v>
      </c>
      <c r="U101">
        <v>0</v>
      </c>
      <c r="V101">
        <v>1084594</v>
      </c>
      <c r="W101">
        <v>357100</v>
      </c>
      <c r="X101">
        <v>356552</v>
      </c>
      <c r="Y101">
        <v>205529</v>
      </c>
      <c r="Z101">
        <v>8014440</v>
      </c>
      <c r="AA101">
        <v>3099949</v>
      </c>
      <c r="AB101">
        <v>223486</v>
      </c>
      <c r="AC101">
        <v>67081</v>
      </c>
      <c r="AD101">
        <v>131478</v>
      </c>
      <c r="AE101">
        <v>0</v>
      </c>
      <c r="AF101">
        <v>32134334</v>
      </c>
      <c r="AG101">
        <v>90904</v>
      </c>
      <c r="AH101">
        <v>120454</v>
      </c>
      <c r="AI101">
        <v>1298725</v>
      </c>
      <c r="AJ101">
        <v>70159</v>
      </c>
      <c r="AK101">
        <v>54160</v>
      </c>
      <c r="AL101">
        <v>2405940</v>
      </c>
      <c r="AM101">
        <v>50053</v>
      </c>
      <c r="AN101">
        <v>2709798</v>
      </c>
      <c r="AO101">
        <v>0</v>
      </c>
      <c r="AP101">
        <v>651167</v>
      </c>
      <c r="AQ101">
        <v>254931</v>
      </c>
      <c r="AR101">
        <v>25838</v>
      </c>
      <c r="AS101">
        <v>519329</v>
      </c>
      <c r="AT101">
        <v>32239</v>
      </c>
      <c r="AU101">
        <v>111251932</v>
      </c>
      <c r="AV101">
        <v>40058073</v>
      </c>
      <c r="AW101">
        <v>430792</v>
      </c>
      <c r="AX101">
        <v>40940</v>
      </c>
      <c r="AY101">
        <v>162310</v>
      </c>
      <c r="AZ101">
        <v>42750</v>
      </c>
      <c r="BA101">
        <v>103197</v>
      </c>
      <c r="BB101">
        <v>857164</v>
      </c>
      <c r="BC101">
        <v>200000</v>
      </c>
      <c r="BD101">
        <v>35807</v>
      </c>
      <c r="BE101">
        <v>13600</v>
      </c>
      <c r="BF101">
        <v>3135868</v>
      </c>
      <c r="BG101">
        <v>49236</v>
      </c>
      <c r="BH101">
        <v>4576570</v>
      </c>
      <c r="BI101">
        <v>706083</v>
      </c>
      <c r="BJ101">
        <v>133906</v>
      </c>
      <c r="BK101">
        <v>25301</v>
      </c>
      <c r="BL101">
        <v>2401944</v>
      </c>
      <c r="BM101">
        <v>5382362</v>
      </c>
      <c r="BN101">
        <v>551723</v>
      </c>
      <c r="BO101">
        <v>35013325</v>
      </c>
      <c r="BP101">
        <v>39801515</v>
      </c>
      <c r="BQ101">
        <v>133083</v>
      </c>
      <c r="BR101">
        <v>1964420</v>
      </c>
      <c r="BS101">
        <v>864905</v>
      </c>
      <c r="BT101">
        <v>727833</v>
      </c>
      <c r="BU101">
        <v>358557</v>
      </c>
      <c r="BV101">
        <v>223912</v>
      </c>
      <c r="BW101">
        <v>28592580</v>
      </c>
      <c r="BX101">
        <v>573745</v>
      </c>
      <c r="BY101">
        <v>47365084</v>
      </c>
      <c r="BZ101">
        <v>41978</v>
      </c>
      <c r="CA101">
        <v>7141882</v>
      </c>
      <c r="CB101">
        <v>157644</v>
      </c>
      <c r="CC101">
        <v>801234</v>
      </c>
      <c r="CD101">
        <v>29846219</v>
      </c>
    </row>
    <row r="102" spans="1:82" x14ac:dyDescent="0.3">
      <c r="A102" s="155">
        <v>502</v>
      </c>
      <c r="B102" t="s">
        <v>177</v>
      </c>
      <c r="D102">
        <v>214661</v>
      </c>
      <c r="E102">
        <v>186417</v>
      </c>
      <c r="F102">
        <v>0</v>
      </c>
      <c r="G102">
        <v>981155</v>
      </c>
      <c r="H102">
        <v>661548</v>
      </c>
      <c r="I102">
        <v>125711</v>
      </c>
      <c r="J102">
        <v>0</v>
      </c>
      <c r="K102">
        <v>193250</v>
      </c>
      <c r="L102">
        <v>3641953</v>
      </c>
      <c r="M102">
        <v>42800570</v>
      </c>
      <c r="N102">
        <v>0</v>
      </c>
      <c r="O102">
        <v>0</v>
      </c>
      <c r="P102">
        <v>42498</v>
      </c>
      <c r="Q102">
        <v>8000377</v>
      </c>
      <c r="R102">
        <v>0</v>
      </c>
      <c r="S102">
        <v>1397650</v>
      </c>
      <c r="T102">
        <v>1273712</v>
      </c>
      <c r="U102">
        <v>1225811</v>
      </c>
      <c r="V102">
        <v>7611151</v>
      </c>
      <c r="W102">
        <v>0</v>
      </c>
      <c r="X102">
        <v>257128</v>
      </c>
      <c r="Y102">
        <v>840368</v>
      </c>
      <c r="Z102">
        <v>37997639</v>
      </c>
      <c r="AA102">
        <v>32622</v>
      </c>
      <c r="AB102">
        <v>680649</v>
      </c>
      <c r="AC102">
        <v>0</v>
      </c>
      <c r="AD102">
        <v>0</v>
      </c>
      <c r="AE102">
        <v>0</v>
      </c>
      <c r="AF102">
        <v>78880064</v>
      </c>
      <c r="AG102">
        <v>0</v>
      </c>
      <c r="AH102">
        <v>82814</v>
      </c>
      <c r="AI102">
        <v>3315582</v>
      </c>
      <c r="AJ102">
        <v>95176</v>
      </c>
      <c r="AK102">
        <v>62388</v>
      </c>
      <c r="AL102">
        <v>15983251</v>
      </c>
      <c r="AM102">
        <v>316296</v>
      </c>
      <c r="AN102">
        <v>8376315</v>
      </c>
      <c r="AO102">
        <v>0</v>
      </c>
      <c r="AP102">
        <v>8789117</v>
      </c>
      <c r="AQ102">
        <v>0</v>
      </c>
      <c r="AR102">
        <v>0</v>
      </c>
      <c r="AS102">
        <v>1402391</v>
      </c>
      <c r="AT102">
        <v>116140</v>
      </c>
      <c r="AU102">
        <v>101200493</v>
      </c>
      <c r="AV102">
        <v>153604597</v>
      </c>
      <c r="AW102">
        <v>715856</v>
      </c>
      <c r="AX102">
        <v>61531</v>
      </c>
      <c r="AY102">
        <v>44615</v>
      </c>
      <c r="AZ102">
        <v>0</v>
      </c>
      <c r="BA102">
        <v>884556</v>
      </c>
      <c r="BB102">
        <v>105270</v>
      </c>
      <c r="BC102">
        <v>381791</v>
      </c>
      <c r="BD102">
        <v>0</v>
      </c>
      <c r="BE102">
        <v>46135</v>
      </c>
      <c r="BF102">
        <v>11796886</v>
      </c>
      <c r="BG102">
        <v>0</v>
      </c>
      <c r="BH102">
        <v>11806005</v>
      </c>
      <c r="BI102">
        <v>887228</v>
      </c>
      <c r="BJ102">
        <v>0</v>
      </c>
      <c r="BK102">
        <v>0</v>
      </c>
      <c r="BL102">
        <v>35697421</v>
      </c>
      <c r="BM102">
        <v>6356126</v>
      </c>
      <c r="BN102">
        <v>1580528</v>
      </c>
      <c r="BO102">
        <v>37373912</v>
      </c>
      <c r="BP102">
        <v>125201714</v>
      </c>
      <c r="BQ102">
        <v>263599</v>
      </c>
      <c r="BR102">
        <v>10715818</v>
      </c>
      <c r="BS102">
        <v>0</v>
      </c>
      <c r="BT102">
        <v>13086745</v>
      </c>
      <c r="BU102">
        <v>632491</v>
      </c>
      <c r="BV102">
        <v>6571</v>
      </c>
      <c r="BW102">
        <v>1652411</v>
      </c>
      <c r="BX102">
        <v>0</v>
      </c>
      <c r="BY102">
        <v>0</v>
      </c>
      <c r="BZ102">
        <v>915131</v>
      </c>
      <c r="CA102">
        <v>0</v>
      </c>
      <c r="CB102">
        <v>229554</v>
      </c>
      <c r="CC102">
        <v>0</v>
      </c>
      <c r="CD102">
        <v>5851647</v>
      </c>
    </row>
    <row r="103" spans="1:82" x14ac:dyDescent="0.3">
      <c r="A103" s="155">
        <v>503</v>
      </c>
      <c r="B103" t="s">
        <v>178</v>
      </c>
      <c r="D103">
        <v>53712</v>
      </c>
      <c r="E103">
        <v>0</v>
      </c>
      <c r="F103">
        <v>0</v>
      </c>
      <c r="G103">
        <v>42368</v>
      </c>
      <c r="H103">
        <v>106860</v>
      </c>
      <c r="I103">
        <v>20903</v>
      </c>
      <c r="J103">
        <v>0</v>
      </c>
      <c r="K103">
        <v>71799</v>
      </c>
      <c r="L103">
        <v>915862</v>
      </c>
      <c r="M103">
        <v>5138292</v>
      </c>
      <c r="N103">
        <v>0</v>
      </c>
      <c r="O103">
        <v>0</v>
      </c>
      <c r="P103">
        <v>1300</v>
      </c>
      <c r="Q103">
        <v>400030</v>
      </c>
      <c r="R103">
        <v>0</v>
      </c>
      <c r="S103">
        <v>59927</v>
      </c>
      <c r="T103">
        <v>56795</v>
      </c>
      <c r="U103">
        <v>0</v>
      </c>
      <c r="V103">
        <v>43170</v>
      </c>
      <c r="W103">
        <v>0</v>
      </c>
      <c r="X103">
        <v>59543</v>
      </c>
      <c r="Y103">
        <v>118672</v>
      </c>
      <c r="Z103">
        <v>4614609</v>
      </c>
      <c r="AA103">
        <v>0</v>
      </c>
      <c r="AB103">
        <v>48149</v>
      </c>
      <c r="AC103">
        <v>0</v>
      </c>
      <c r="AD103">
        <v>0</v>
      </c>
      <c r="AE103">
        <v>0</v>
      </c>
      <c r="AF103">
        <v>6801112</v>
      </c>
      <c r="AG103">
        <v>1478</v>
      </c>
      <c r="AH103">
        <v>18011</v>
      </c>
      <c r="AI103">
        <v>146282</v>
      </c>
      <c r="AJ103">
        <v>0</v>
      </c>
      <c r="AK103">
        <v>7150</v>
      </c>
      <c r="AL103">
        <v>1519843</v>
      </c>
      <c r="AM103">
        <v>0</v>
      </c>
      <c r="AN103">
        <v>925501</v>
      </c>
      <c r="AO103">
        <v>0</v>
      </c>
      <c r="AP103">
        <v>455556</v>
      </c>
      <c r="AQ103">
        <v>0</v>
      </c>
      <c r="AR103">
        <v>0</v>
      </c>
      <c r="AS103">
        <v>64748</v>
      </c>
      <c r="AT103">
        <v>21587</v>
      </c>
      <c r="AU103">
        <v>136270412</v>
      </c>
      <c r="AV103">
        <v>10558861</v>
      </c>
      <c r="AW103">
        <v>212502</v>
      </c>
      <c r="AX103">
        <v>65102</v>
      </c>
      <c r="AY103">
        <v>305935</v>
      </c>
      <c r="AZ103">
        <v>0</v>
      </c>
      <c r="BA103">
        <v>84884</v>
      </c>
      <c r="BB103">
        <v>0</v>
      </c>
      <c r="BC103">
        <v>50715</v>
      </c>
      <c r="BD103">
        <v>0</v>
      </c>
      <c r="BE103">
        <v>0</v>
      </c>
      <c r="BF103">
        <v>383901</v>
      </c>
      <c r="BG103">
        <v>0</v>
      </c>
      <c r="BH103">
        <v>411610</v>
      </c>
      <c r="BI103">
        <v>107527</v>
      </c>
      <c r="BJ103">
        <v>0</v>
      </c>
      <c r="BK103">
        <v>0</v>
      </c>
      <c r="BL103">
        <v>1937076</v>
      </c>
      <c r="BM103">
        <v>12324752</v>
      </c>
      <c r="BN103">
        <v>124071</v>
      </c>
      <c r="BO103">
        <v>701582</v>
      </c>
      <c r="BP103">
        <v>128986255</v>
      </c>
      <c r="BQ103">
        <v>20785</v>
      </c>
      <c r="BR103">
        <v>44566</v>
      </c>
      <c r="BS103">
        <v>0</v>
      </c>
      <c r="BT103">
        <v>10634242</v>
      </c>
      <c r="BU103">
        <v>78910</v>
      </c>
      <c r="BV103">
        <v>2875</v>
      </c>
      <c r="BW103">
        <v>2658371</v>
      </c>
      <c r="BX103">
        <v>0</v>
      </c>
      <c r="BY103">
        <v>0</v>
      </c>
      <c r="BZ103">
        <v>45488</v>
      </c>
      <c r="CA103">
        <v>0</v>
      </c>
      <c r="CB103">
        <v>11665</v>
      </c>
      <c r="CC103">
        <v>0</v>
      </c>
      <c r="CD103">
        <v>350028</v>
      </c>
    </row>
    <row r="104" spans="1:82" x14ac:dyDescent="0.3">
      <c r="A104" s="155">
        <v>504</v>
      </c>
      <c r="B104" t="s">
        <v>182</v>
      </c>
      <c r="D104">
        <v>129834</v>
      </c>
      <c r="E104">
        <v>234380</v>
      </c>
      <c r="F104">
        <v>142805</v>
      </c>
      <c r="G104">
        <v>30920</v>
      </c>
      <c r="H104">
        <v>58676</v>
      </c>
      <c r="I104">
        <v>40873</v>
      </c>
      <c r="J104">
        <v>454</v>
      </c>
      <c r="K104">
        <v>34325</v>
      </c>
      <c r="L104">
        <v>3512</v>
      </c>
      <c r="M104">
        <v>33131283</v>
      </c>
      <c r="N104">
        <v>436310</v>
      </c>
      <c r="O104">
        <v>239747</v>
      </c>
      <c r="P104">
        <v>6809</v>
      </c>
      <c r="Q104">
        <v>92834</v>
      </c>
      <c r="R104">
        <v>16235</v>
      </c>
      <c r="S104">
        <v>15172</v>
      </c>
      <c r="T104">
        <v>429001</v>
      </c>
      <c r="U104">
        <v>0</v>
      </c>
      <c r="V104">
        <v>283618</v>
      </c>
      <c r="W104">
        <v>162824</v>
      </c>
      <c r="X104">
        <v>50401</v>
      </c>
      <c r="Y104">
        <v>286464</v>
      </c>
      <c r="Z104">
        <v>3362265</v>
      </c>
      <c r="AA104">
        <v>0</v>
      </c>
      <c r="AB104">
        <v>307950</v>
      </c>
      <c r="AC104">
        <v>1200602</v>
      </c>
      <c r="AD104">
        <v>215083</v>
      </c>
      <c r="AE104">
        <v>110935</v>
      </c>
      <c r="AF104">
        <v>4768967</v>
      </c>
      <c r="AG104">
        <v>59919</v>
      </c>
      <c r="AH104">
        <v>17429</v>
      </c>
      <c r="AI104">
        <v>1529053</v>
      </c>
      <c r="AJ104">
        <v>360043</v>
      </c>
      <c r="AK104">
        <v>4415</v>
      </c>
      <c r="AL104">
        <v>6975509</v>
      </c>
      <c r="AM104">
        <v>58551</v>
      </c>
      <c r="AN104">
        <v>1266231</v>
      </c>
      <c r="AO104">
        <v>0</v>
      </c>
      <c r="AP104">
        <v>781588</v>
      </c>
      <c r="AQ104">
        <v>1252763</v>
      </c>
      <c r="AR104">
        <v>0</v>
      </c>
      <c r="AS104">
        <v>458448</v>
      </c>
      <c r="AT104">
        <v>23705</v>
      </c>
      <c r="AU104">
        <v>50279147</v>
      </c>
      <c r="AV104">
        <v>6585024</v>
      </c>
      <c r="AW104">
        <v>84359</v>
      </c>
      <c r="AX104">
        <v>28908</v>
      </c>
      <c r="AY104">
        <v>114377</v>
      </c>
      <c r="AZ104">
        <v>78213</v>
      </c>
      <c r="BA104">
        <v>17701</v>
      </c>
      <c r="BB104">
        <v>463239</v>
      </c>
      <c r="BC104">
        <v>311277</v>
      </c>
      <c r="BD104">
        <v>12080</v>
      </c>
      <c r="BE104">
        <v>2773</v>
      </c>
      <c r="BF104">
        <v>2743486</v>
      </c>
      <c r="BG104">
        <v>3911</v>
      </c>
      <c r="BH104">
        <v>2998950</v>
      </c>
      <c r="BI104">
        <v>131365</v>
      </c>
      <c r="BJ104">
        <v>28503</v>
      </c>
      <c r="BK104">
        <v>0</v>
      </c>
      <c r="BL104">
        <v>770548</v>
      </c>
      <c r="BM104">
        <v>3416622</v>
      </c>
      <c r="BN104">
        <v>163048</v>
      </c>
      <c r="BO104">
        <v>4039900</v>
      </c>
      <c r="BP104">
        <v>20479313</v>
      </c>
      <c r="BQ104">
        <v>112874</v>
      </c>
      <c r="BR104">
        <v>182276</v>
      </c>
      <c r="BS104">
        <v>259258</v>
      </c>
      <c r="BT104">
        <v>601072</v>
      </c>
      <c r="BU104">
        <v>14466</v>
      </c>
      <c r="BV104">
        <v>91964</v>
      </c>
      <c r="BW104">
        <v>43799</v>
      </c>
      <c r="BX104">
        <v>164927</v>
      </c>
      <c r="BY104">
        <v>1596014</v>
      </c>
      <c r="BZ104">
        <v>155551</v>
      </c>
      <c r="CA104">
        <v>515005</v>
      </c>
      <c r="CB104">
        <v>115308</v>
      </c>
      <c r="CC104">
        <v>365065</v>
      </c>
      <c r="CD104">
        <v>7739681</v>
      </c>
    </row>
    <row r="105" spans="1:82" x14ac:dyDescent="0.3">
      <c r="A105" s="155">
        <v>505</v>
      </c>
      <c r="B105" t="s">
        <v>183</v>
      </c>
      <c r="D105">
        <v>2171081</v>
      </c>
      <c r="E105">
        <v>253639</v>
      </c>
      <c r="F105">
        <v>300000</v>
      </c>
      <c r="G105">
        <v>0</v>
      </c>
      <c r="H105">
        <v>0</v>
      </c>
      <c r="I105">
        <v>0</v>
      </c>
      <c r="J105">
        <v>0</v>
      </c>
      <c r="K105">
        <v>0</v>
      </c>
      <c r="L105">
        <v>1163514</v>
      </c>
      <c r="M105">
        <v>6537768</v>
      </c>
      <c r="N105">
        <v>0</v>
      </c>
      <c r="O105">
        <v>0</v>
      </c>
      <c r="P105">
        <v>0</v>
      </c>
      <c r="Q105">
        <v>267930</v>
      </c>
      <c r="R105">
        <v>0</v>
      </c>
      <c r="S105">
        <v>0</v>
      </c>
      <c r="T105">
        <v>264880</v>
      </c>
      <c r="U105">
        <v>262620</v>
      </c>
      <c r="V105">
        <v>163244</v>
      </c>
      <c r="W105">
        <v>0</v>
      </c>
      <c r="X105">
        <v>0</v>
      </c>
      <c r="Y105">
        <v>0</v>
      </c>
      <c r="Z105">
        <v>36595417</v>
      </c>
      <c r="AA105">
        <v>0</v>
      </c>
      <c r="AB105">
        <v>0</v>
      </c>
      <c r="AC105">
        <v>2181760</v>
      </c>
      <c r="AD105">
        <v>0</v>
      </c>
      <c r="AE105">
        <v>0</v>
      </c>
      <c r="AF105">
        <v>2191799</v>
      </c>
      <c r="AG105">
        <v>8824</v>
      </c>
      <c r="AH105">
        <v>0</v>
      </c>
      <c r="AI105">
        <v>800000</v>
      </c>
      <c r="AJ105">
        <v>0</v>
      </c>
      <c r="AK105">
        <v>0</v>
      </c>
      <c r="AL105">
        <v>167625</v>
      </c>
      <c r="AM105">
        <v>0</v>
      </c>
      <c r="AN105">
        <v>225960</v>
      </c>
      <c r="AO105">
        <v>0</v>
      </c>
      <c r="AP105">
        <v>249230</v>
      </c>
      <c r="AQ105">
        <v>101020</v>
      </c>
      <c r="AR105">
        <v>819525</v>
      </c>
      <c r="AS105">
        <v>0</v>
      </c>
      <c r="AT105">
        <v>253745</v>
      </c>
      <c r="AU105">
        <v>18779761</v>
      </c>
      <c r="AV105">
        <v>6543303</v>
      </c>
      <c r="AW105">
        <v>21563</v>
      </c>
      <c r="AX105">
        <v>55879</v>
      </c>
      <c r="AY105">
        <v>0</v>
      </c>
      <c r="AZ105">
        <v>0</v>
      </c>
      <c r="BA105">
        <v>0</v>
      </c>
      <c r="BB105">
        <v>218425</v>
      </c>
      <c r="BC105">
        <v>0</v>
      </c>
      <c r="BD105">
        <v>0</v>
      </c>
      <c r="BE105">
        <v>0</v>
      </c>
      <c r="BF105">
        <v>6297411</v>
      </c>
      <c r="BG105">
        <v>0</v>
      </c>
      <c r="BH105">
        <v>0</v>
      </c>
      <c r="BI105">
        <v>98084</v>
      </c>
      <c r="BJ105">
        <v>0</v>
      </c>
      <c r="BK105">
        <v>0</v>
      </c>
      <c r="BL105">
        <v>1677483</v>
      </c>
      <c r="BM105">
        <v>0</v>
      </c>
      <c r="BN105">
        <v>70002</v>
      </c>
      <c r="BO105">
        <v>14427256</v>
      </c>
      <c r="BP105">
        <v>526435</v>
      </c>
      <c r="BQ105">
        <v>0</v>
      </c>
      <c r="BR105">
        <v>635000</v>
      </c>
      <c r="BS105">
        <v>0</v>
      </c>
      <c r="BT105">
        <v>0</v>
      </c>
      <c r="BU105">
        <v>0</v>
      </c>
      <c r="BV105">
        <v>10000</v>
      </c>
      <c r="BW105">
        <v>23067018</v>
      </c>
      <c r="BX105">
        <v>0</v>
      </c>
      <c r="BY105">
        <v>9863429</v>
      </c>
      <c r="BZ105">
        <v>175860</v>
      </c>
      <c r="CA105">
        <v>0</v>
      </c>
      <c r="CB105">
        <v>0</v>
      </c>
      <c r="CC105">
        <v>127597</v>
      </c>
      <c r="CD105">
        <v>1534772</v>
      </c>
    </row>
    <row r="106" spans="1:82" x14ac:dyDescent="0.3">
      <c r="A106" s="155">
        <v>506</v>
      </c>
      <c r="B106" t="s">
        <v>189</v>
      </c>
      <c r="D106">
        <v>668970</v>
      </c>
      <c r="E106">
        <v>806082</v>
      </c>
      <c r="F106">
        <v>471851</v>
      </c>
      <c r="G106">
        <v>1190251</v>
      </c>
      <c r="H106">
        <v>1057513</v>
      </c>
      <c r="I106">
        <v>164407</v>
      </c>
      <c r="J106">
        <v>105035</v>
      </c>
      <c r="K106">
        <v>394236</v>
      </c>
      <c r="L106">
        <v>1987365</v>
      </c>
      <c r="M106">
        <v>67137291</v>
      </c>
      <c r="N106">
        <v>3400357</v>
      </c>
      <c r="O106">
        <v>6417658</v>
      </c>
      <c r="P106">
        <v>143964</v>
      </c>
      <c r="Q106">
        <v>6853718</v>
      </c>
      <c r="R106">
        <v>164878</v>
      </c>
      <c r="S106">
        <v>605816</v>
      </c>
      <c r="T106">
        <v>1454489</v>
      </c>
      <c r="U106">
        <v>1963518</v>
      </c>
      <c r="V106">
        <v>5197761</v>
      </c>
      <c r="W106">
        <v>529535</v>
      </c>
      <c r="X106">
        <v>612042</v>
      </c>
      <c r="Y106">
        <v>257675</v>
      </c>
      <c r="Z106">
        <v>31045785</v>
      </c>
      <c r="AA106">
        <v>5278914</v>
      </c>
      <c r="AB106">
        <v>1206469</v>
      </c>
      <c r="AC106">
        <v>29645503</v>
      </c>
      <c r="AD106">
        <v>746759</v>
      </c>
      <c r="AE106">
        <v>858004</v>
      </c>
      <c r="AF106">
        <v>38699775</v>
      </c>
      <c r="AG106">
        <v>1058518</v>
      </c>
      <c r="AH106">
        <v>261634</v>
      </c>
      <c r="AI106">
        <v>2479619</v>
      </c>
      <c r="AJ106">
        <v>1300129</v>
      </c>
      <c r="AK106">
        <v>70106</v>
      </c>
      <c r="AL106">
        <v>15100564</v>
      </c>
      <c r="AM106">
        <v>604756</v>
      </c>
      <c r="AN106">
        <v>12016006</v>
      </c>
      <c r="AO106">
        <v>113540</v>
      </c>
      <c r="AP106">
        <v>5766817</v>
      </c>
      <c r="AQ106">
        <v>2177471</v>
      </c>
      <c r="AR106">
        <v>269467</v>
      </c>
      <c r="AS106">
        <v>1557100</v>
      </c>
      <c r="AT106">
        <v>997675</v>
      </c>
      <c r="AU106">
        <v>73581619</v>
      </c>
      <c r="AV106">
        <v>25774835</v>
      </c>
      <c r="AW106">
        <v>1328511</v>
      </c>
      <c r="AX106">
        <v>169832</v>
      </c>
      <c r="AY106">
        <v>394425</v>
      </c>
      <c r="AZ106">
        <v>141694</v>
      </c>
      <c r="BA106">
        <v>808914</v>
      </c>
      <c r="BB106">
        <v>4082477</v>
      </c>
      <c r="BC106">
        <v>1308675</v>
      </c>
      <c r="BD106">
        <v>233790</v>
      </c>
      <c r="BE106">
        <v>134966</v>
      </c>
      <c r="BF106">
        <v>6612850</v>
      </c>
      <c r="BG106">
        <v>45196</v>
      </c>
      <c r="BH106">
        <v>14835222</v>
      </c>
      <c r="BI106">
        <v>978984</v>
      </c>
      <c r="BJ106">
        <v>524638</v>
      </c>
      <c r="BK106">
        <v>511778</v>
      </c>
      <c r="BL106">
        <v>10620663</v>
      </c>
      <c r="BM106">
        <v>6615412</v>
      </c>
      <c r="BN106">
        <v>1387462</v>
      </c>
      <c r="BO106">
        <v>36101023</v>
      </c>
      <c r="BP106">
        <v>33594138</v>
      </c>
      <c r="BQ106">
        <v>319910</v>
      </c>
      <c r="BR106">
        <v>4039685</v>
      </c>
      <c r="BS106">
        <v>1596782</v>
      </c>
      <c r="BT106">
        <v>10645346</v>
      </c>
      <c r="BU106">
        <v>265445</v>
      </c>
      <c r="BV106">
        <v>580906</v>
      </c>
      <c r="BW106">
        <v>3968364</v>
      </c>
      <c r="BX106">
        <v>2638443</v>
      </c>
      <c r="BY106">
        <v>19627228</v>
      </c>
      <c r="BZ106">
        <v>339692</v>
      </c>
      <c r="CA106">
        <v>6956539</v>
      </c>
      <c r="CB106">
        <v>804135</v>
      </c>
      <c r="CC106">
        <v>2413616</v>
      </c>
      <c r="CD106">
        <v>43848494</v>
      </c>
    </row>
    <row r="107" spans="1:82" x14ac:dyDescent="0.3">
      <c r="A107" s="155">
        <v>507</v>
      </c>
      <c r="B107" t="s">
        <v>886</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2750</v>
      </c>
      <c r="Z107">
        <v>0</v>
      </c>
      <c r="AA107">
        <v>0</v>
      </c>
      <c r="AB107">
        <v>0</v>
      </c>
      <c r="AC107">
        <v>0</v>
      </c>
      <c r="AD107">
        <v>0</v>
      </c>
      <c r="AE107">
        <v>0</v>
      </c>
      <c r="AF107">
        <v>107057</v>
      </c>
      <c r="AG107">
        <v>0</v>
      </c>
      <c r="AH107">
        <v>0</v>
      </c>
      <c r="AI107">
        <v>0</v>
      </c>
      <c r="AJ107">
        <v>0</v>
      </c>
      <c r="AK107">
        <v>0</v>
      </c>
      <c r="AL107">
        <v>0</v>
      </c>
      <c r="AM107">
        <v>0</v>
      </c>
      <c r="AN107">
        <v>0</v>
      </c>
      <c r="AO107">
        <v>0</v>
      </c>
      <c r="AP107">
        <v>0</v>
      </c>
      <c r="AQ107">
        <v>3</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-1</v>
      </c>
      <c r="BR107">
        <v>179481</v>
      </c>
      <c r="BS107">
        <v>0</v>
      </c>
      <c r="BT107">
        <v>10445599</v>
      </c>
      <c r="BU107">
        <v>0</v>
      </c>
      <c r="BV107">
        <v>0</v>
      </c>
      <c r="BW107">
        <v>0</v>
      </c>
      <c r="BX107">
        <v>0</v>
      </c>
      <c r="BY107">
        <v>0</v>
      </c>
      <c r="BZ107">
        <v>0</v>
      </c>
      <c r="CA107">
        <v>0</v>
      </c>
      <c r="CB107">
        <v>0</v>
      </c>
      <c r="CC107">
        <v>0</v>
      </c>
      <c r="CD107">
        <v>0</v>
      </c>
    </row>
    <row r="108" spans="1:82" x14ac:dyDescent="0.3">
      <c r="A108" s="155">
        <v>508</v>
      </c>
      <c r="B108" t="s">
        <v>204</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87707</v>
      </c>
    </row>
    <row r="109" spans="1:82" x14ac:dyDescent="0.3">
      <c r="A109" s="155">
        <v>509</v>
      </c>
      <c r="B109" t="s">
        <v>205</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row>
    <row r="110" spans="1:82" x14ac:dyDescent="0.3">
      <c r="A110" s="155">
        <v>510</v>
      </c>
      <c r="B110" t="s">
        <v>211</v>
      </c>
      <c r="D110">
        <v>0</v>
      </c>
      <c r="E110">
        <v>61441</v>
      </c>
      <c r="F110">
        <v>0</v>
      </c>
      <c r="G110">
        <v>0</v>
      </c>
      <c r="H110">
        <v>0</v>
      </c>
      <c r="I110">
        <v>0</v>
      </c>
      <c r="J110">
        <v>0</v>
      </c>
      <c r="K110">
        <v>0</v>
      </c>
      <c r="L110">
        <v>57570</v>
      </c>
      <c r="M110">
        <v>0</v>
      </c>
      <c r="N110">
        <v>0</v>
      </c>
      <c r="O110">
        <v>0</v>
      </c>
      <c r="P110">
        <v>0</v>
      </c>
      <c r="Q110">
        <v>24791</v>
      </c>
      <c r="R110">
        <v>0</v>
      </c>
      <c r="S110">
        <v>7223</v>
      </c>
      <c r="T110">
        <v>129853</v>
      </c>
      <c r="U110">
        <v>0</v>
      </c>
      <c r="V110">
        <v>170640</v>
      </c>
      <c r="W110">
        <v>0</v>
      </c>
      <c r="X110">
        <v>0</v>
      </c>
      <c r="Y110">
        <v>412</v>
      </c>
      <c r="Z110">
        <v>0</v>
      </c>
      <c r="AA110">
        <v>0</v>
      </c>
      <c r="AB110">
        <v>4500</v>
      </c>
      <c r="AC110">
        <v>0</v>
      </c>
      <c r="AD110">
        <v>0</v>
      </c>
      <c r="AE110">
        <v>0</v>
      </c>
      <c r="AF110">
        <v>245460</v>
      </c>
      <c r="AG110">
        <v>0</v>
      </c>
      <c r="AH110">
        <v>0</v>
      </c>
      <c r="AI110">
        <v>7813</v>
      </c>
      <c r="AJ110">
        <v>0</v>
      </c>
      <c r="AK110">
        <v>0</v>
      </c>
      <c r="AL110">
        <v>1086759</v>
      </c>
      <c r="AM110">
        <v>0</v>
      </c>
      <c r="AN110">
        <v>0</v>
      </c>
      <c r="AO110">
        <v>0</v>
      </c>
      <c r="AP110">
        <v>226578</v>
      </c>
      <c r="AQ110">
        <v>0</v>
      </c>
      <c r="AR110">
        <v>0</v>
      </c>
      <c r="AS110">
        <v>0</v>
      </c>
      <c r="AT110">
        <v>0</v>
      </c>
      <c r="AU110">
        <v>5881818</v>
      </c>
      <c r="AV110">
        <v>1936751</v>
      </c>
      <c r="AW110">
        <v>20580</v>
      </c>
      <c r="AX110">
        <v>0</v>
      </c>
      <c r="AY110">
        <v>0</v>
      </c>
      <c r="AZ110">
        <v>0</v>
      </c>
      <c r="BA110">
        <v>0</v>
      </c>
      <c r="BB110">
        <v>56861</v>
      </c>
      <c r="BC110">
        <v>0</v>
      </c>
      <c r="BD110">
        <v>0</v>
      </c>
      <c r="BE110">
        <v>0</v>
      </c>
      <c r="BF110">
        <v>0</v>
      </c>
      <c r="BG110">
        <v>0</v>
      </c>
      <c r="BH110">
        <v>45442</v>
      </c>
      <c r="BI110">
        <v>0</v>
      </c>
      <c r="BJ110">
        <v>0</v>
      </c>
      <c r="BK110">
        <v>0</v>
      </c>
      <c r="BL110">
        <v>110206</v>
      </c>
      <c r="BM110">
        <v>1722049</v>
      </c>
      <c r="BN110">
        <v>0</v>
      </c>
      <c r="BO110">
        <v>508639</v>
      </c>
      <c r="BP110">
        <v>0</v>
      </c>
      <c r="BQ110">
        <v>0</v>
      </c>
      <c r="BR110">
        <v>174342</v>
      </c>
      <c r="BS110">
        <v>0</v>
      </c>
      <c r="BT110">
        <v>0</v>
      </c>
      <c r="BU110">
        <v>0</v>
      </c>
      <c r="BV110">
        <v>0</v>
      </c>
      <c r="BW110">
        <v>150350</v>
      </c>
      <c r="BX110">
        <v>0</v>
      </c>
      <c r="BY110">
        <v>32647</v>
      </c>
      <c r="BZ110">
        <v>0</v>
      </c>
      <c r="CA110">
        <v>0</v>
      </c>
      <c r="CB110">
        <v>0</v>
      </c>
      <c r="CC110">
        <v>0</v>
      </c>
      <c r="CD110">
        <v>0</v>
      </c>
    </row>
    <row r="111" spans="1:82" x14ac:dyDescent="0.3">
      <c r="A111" s="155">
        <v>511</v>
      </c>
      <c r="B111" s="551" t="s">
        <v>216</v>
      </c>
      <c r="D111">
        <v>0</v>
      </c>
      <c r="E111">
        <v>0</v>
      </c>
      <c r="F111">
        <v>0</v>
      </c>
      <c r="G111">
        <v>0</v>
      </c>
      <c r="H111">
        <v>0</v>
      </c>
      <c r="I111">
        <v>0</v>
      </c>
      <c r="J111">
        <v>0</v>
      </c>
      <c r="K111">
        <v>0</v>
      </c>
      <c r="L111">
        <v>209382</v>
      </c>
      <c r="M111">
        <v>0</v>
      </c>
      <c r="N111">
        <v>0</v>
      </c>
      <c r="O111">
        <v>0</v>
      </c>
      <c r="P111">
        <v>0</v>
      </c>
      <c r="Q111">
        <v>9601</v>
      </c>
      <c r="R111">
        <v>0</v>
      </c>
      <c r="S111">
        <v>15554</v>
      </c>
      <c r="T111">
        <v>0</v>
      </c>
      <c r="U111">
        <v>0</v>
      </c>
      <c r="V111">
        <v>0</v>
      </c>
      <c r="W111">
        <v>0</v>
      </c>
      <c r="X111">
        <v>0</v>
      </c>
      <c r="Y111">
        <v>0</v>
      </c>
      <c r="Z111">
        <v>0</v>
      </c>
      <c r="AA111">
        <v>0</v>
      </c>
      <c r="AB111">
        <v>0</v>
      </c>
      <c r="AC111">
        <v>0</v>
      </c>
      <c r="AD111">
        <v>0</v>
      </c>
      <c r="AE111">
        <v>0</v>
      </c>
      <c r="AF111">
        <v>1420712</v>
      </c>
      <c r="AG111">
        <v>0</v>
      </c>
      <c r="AH111">
        <v>0</v>
      </c>
      <c r="AI111">
        <v>0</v>
      </c>
      <c r="AJ111">
        <v>0</v>
      </c>
      <c r="AK111">
        <v>0</v>
      </c>
      <c r="AL111">
        <v>0</v>
      </c>
      <c r="AM111">
        <v>0</v>
      </c>
      <c r="AN111">
        <v>0</v>
      </c>
      <c r="AO111">
        <v>0</v>
      </c>
      <c r="AP111">
        <v>604169</v>
      </c>
      <c r="AQ111">
        <v>0</v>
      </c>
      <c r="AR111">
        <v>0</v>
      </c>
      <c r="AS111">
        <v>0</v>
      </c>
      <c r="AT111">
        <v>0</v>
      </c>
      <c r="AU111">
        <v>0</v>
      </c>
      <c r="AV111">
        <v>9506310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10102067</v>
      </c>
      <c r="BQ111">
        <v>0</v>
      </c>
      <c r="BR111">
        <v>416720</v>
      </c>
      <c r="BS111">
        <v>0</v>
      </c>
      <c r="BT111">
        <v>0</v>
      </c>
      <c r="BU111">
        <v>0</v>
      </c>
      <c r="BV111">
        <v>0</v>
      </c>
      <c r="BW111">
        <v>0</v>
      </c>
      <c r="BX111">
        <v>0</v>
      </c>
      <c r="BY111">
        <v>0</v>
      </c>
      <c r="BZ111">
        <v>0</v>
      </c>
      <c r="CA111">
        <v>0</v>
      </c>
      <c r="CB111">
        <v>0</v>
      </c>
      <c r="CC111">
        <v>0</v>
      </c>
      <c r="CD111">
        <v>170846</v>
      </c>
    </row>
    <row r="112" spans="1:82" x14ac:dyDescent="0.3">
      <c r="A112" s="155">
        <v>512</v>
      </c>
      <c r="B112" t="s">
        <v>243</v>
      </c>
      <c r="D112">
        <v>0</v>
      </c>
      <c r="E112">
        <v>0</v>
      </c>
      <c r="F112">
        <v>0</v>
      </c>
      <c r="G112">
        <v>0</v>
      </c>
      <c r="H112">
        <v>0</v>
      </c>
      <c r="I112">
        <v>0</v>
      </c>
      <c r="J112">
        <v>0</v>
      </c>
      <c r="K112">
        <v>0</v>
      </c>
      <c r="L112">
        <v>24150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38328309</v>
      </c>
      <c r="AV112">
        <v>14758336</v>
      </c>
      <c r="AW112">
        <v>0</v>
      </c>
      <c r="AX112">
        <v>0</v>
      </c>
      <c r="AY112">
        <v>0</v>
      </c>
      <c r="AZ112">
        <v>0</v>
      </c>
      <c r="BA112">
        <v>0</v>
      </c>
      <c r="BB112">
        <v>0</v>
      </c>
      <c r="BC112">
        <v>0</v>
      </c>
      <c r="BD112">
        <v>0</v>
      </c>
      <c r="BE112">
        <v>0</v>
      </c>
      <c r="BF112">
        <v>0</v>
      </c>
      <c r="BG112">
        <v>0</v>
      </c>
      <c r="BH112">
        <v>0</v>
      </c>
      <c r="BI112">
        <v>0</v>
      </c>
      <c r="BJ112">
        <v>0</v>
      </c>
      <c r="BK112">
        <v>0</v>
      </c>
      <c r="BL112">
        <v>0</v>
      </c>
      <c r="BM112">
        <v>184097</v>
      </c>
      <c r="BN112">
        <v>0</v>
      </c>
      <c r="BO112">
        <v>0</v>
      </c>
      <c r="BP112">
        <v>0</v>
      </c>
      <c r="BQ112">
        <v>0</v>
      </c>
      <c r="BR112">
        <v>1682647</v>
      </c>
      <c r="BS112">
        <v>0</v>
      </c>
      <c r="BT112">
        <v>0</v>
      </c>
      <c r="BU112">
        <v>0</v>
      </c>
      <c r="BV112">
        <v>0</v>
      </c>
      <c r="BW112">
        <v>0</v>
      </c>
      <c r="BX112">
        <v>0</v>
      </c>
      <c r="BY112">
        <v>549159</v>
      </c>
      <c r="BZ112">
        <v>0</v>
      </c>
      <c r="CA112">
        <v>0</v>
      </c>
      <c r="CB112">
        <v>0</v>
      </c>
      <c r="CC112">
        <v>0</v>
      </c>
      <c r="CD112">
        <v>0</v>
      </c>
    </row>
    <row r="113" spans="1:82" x14ac:dyDescent="0.3">
      <c r="A113" s="155">
        <v>513</v>
      </c>
      <c r="B113" t="s">
        <v>249</v>
      </c>
      <c r="D113">
        <v>0</v>
      </c>
      <c r="E113">
        <v>0</v>
      </c>
      <c r="F113">
        <v>0</v>
      </c>
      <c r="G113">
        <v>0</v>
      </c>
      <c r="H113">
        <v>0</v>
      </c>
      <c r="I113">
        <v>0</v>
      </c>
      <c r="J113">
        <v>0</v>
      </c>
      <c r="K113">
        <v>0</v>
      </c>
      <c r="L113">
        <v>11393</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row>
    <row r="114" spans="1:82" x14ac:dyDescent="0.3">
      <c r="A114" s="155">
        <v>514</v>
      </c>
      <c r="B114" t="s">
        <v>250</v>
      </c>
      <c r="D114">
        <v>0</v>
      </c>
      <c r="E114">
        <v>0</v>
      </c>
      <c r="F114">
        <v>0</v>
      </c>
      <c r="G114">
        <v>0</v>
      </c>
      <c r="H114">
        <v>0</v>
      </c>
      <c r="I114">
        <v>0</v>
      </c>
      <c r="J114">
        <v>0</v>
      </c>
      <c r="K114">
        <v>0</v>
      </c>
      <c r="L114">
        <v>361089</v>
      </c>
      <c r="M114">
        <v>0</v>
      </c>
      <c r="N114">
        <v>0</v>
      </c>
      <c r="O114">
        <v>0</v>
      </c>
      <c r="P114">
        <v>0</v>
      </c>
      <c r="Q114">
        <v>8277354</v>
      </c>
      <c r="R114">
        <v>0</v>
      </c>
      <c r="S114">
        <v>0</v>
      </c>
      <c r="T114">
        <v>0</v>
      </c>
      <c r="U114">
        <v>0</v>
      </c>
      <c r="V114">
        <v>0</v>
      </c>
      <c r="W114">
        <v>0</v>
      </c>
      <c r="X114">
        <v>0</v>
      </c>
      <c r="Y114">
        <v>45000</v>
      </c>
      <c r="Z114">
        <v>0</v>
      </c>
      <c r="AA114">
        <v>0</v>
      </c>
      <c r="AB114">
        <v>0</v>
      </c>
      <c r="AC114">
        <v>0</v>
      </c>
      <c r="AD114">
        <v>0</v>
      </c>
      <c r="AE114">
        <v>0</v>
      </c>
      <c r="AF114">
        <v>2583229</v>
      </c>
      <c r="AG114">
        <v>0</v>
      </c>
      <c r="AH114">
        <v>0</v>
      </c>
      <c r="AI114">
        <v>0</v>
      </c>
      <c r="AJ114">
        <v>0</v>
      </c>
      <c r="AK114">
        <v>0</v>
      </c>
      <c r="AL114">
        <v>0</v>
      </c>
      <c r="AM114">
        <v>0</v>
      </c>
      <c r="AN114">
        <v>0</v>
      </c>
      <c r="AO114">
        <v>0</v>
      </c>
      <c r="AP114">
        <v>0</v>
      </c>
      <c r="AQ114">
        <v>0</v>
      </c>
      <c r="AR114">
        <v>0</v>
      </c>
      <c r="AS114">
        <v>0</v>
      </c>
      <c r="AT114">
        <v>0</v>
      </c>
      <c r="AU114">
        <v>0</v>
      </c>
      <c r="AV114">
        <v>5059628</v>
      </c>
      <c r="AW114">
        <v>0</v>
      </c>
      <c r="AX114">
        <v>0</v>
      </c>
      <c r="AY114">
        <v>0</v>
      </c>
      <c r="AZ114">
        <v>0</v>
      </c>
      <c r="BA114">
        <v>0</v>
      </c>
      <c r="BB114">
        <v>0</v>
      </c>
      <c r="BC114">
        <v>0</v>
      </c>
      <c r="BD114">
        <v>0</v>
      </c>
      <c r="BE114">
        <v>0</v>
      </c>
      <c r="BF114">
        <v>0</v>
      </c>
      <c r="BG114">
        <v>0</v>
      </c>
      <c r="BH114">
        <v>0</v>
      </c>
      <c r="BI114">
        <v>0</v>
      </c>
      <c r="BJ114">
        <v>0</v>
      </c>
      <c r="BK114">
        <v>0</v>
      </c>
      <c r="BL114">
        <v>0</v>
      </c>
      <c r="BM114">
        <v>0</v>
      </c>
      <c r="BN114">
        <v>84000</v>
      </c>
      <c r="BO114">
        <v>0</v>
      </c>
      <c r="BP114">
        <v>1110000</v>
      </c>
      <c r="BQ114">
        <v>0</v>
      </c>
      <c r="BR114">
        <v>0</v>
      </c>
      <c r="BS114">
        <v>0</v>
      </c>
      <c r="BT114">
        <v>0</v>
      </c>
      <c r="BU114">
        <v>7000</v>
      </c>
      <c r="BV114">
        <v>0</v>
      </c>
      <c r="BW114">
        <v>0</v>
      </c>
      <c r="BX114">
        <v>0</v>
      </c>
      <c r="BY114">
        <v>0</v>
      </c>
      <c r="BZ114">
        <v>0</v>
      </c>
      <c r="CA114">
        <v>0</v>
      </c>
      <c r="CB114">
        <v>0</v>
      </c>
      <c r="CC114">
        <v>0</v>
      </c>
      <c r="CD114">
        <v>0</v>
      </c>
    </row>
    <row r="115" spans="1:82" x14ac:dyDescent="0.3">
      <c r="A115" s="1041">
        <v>515</v>
      </c>
      <c r="B115" s="1042" t="s">
        <v>262</v>
      </c>
      <c r="D115">
        <v>204424</v>
      </c>
      <c r="E115">
        <v>12755</v>
      </c>
      <c r="F115">
        <v>0</v>
      </c>
      <c r="G115">
        <v>542319</v>
      </c>
      <c r="H115">
        <v>0</v>
      </c>
      <c r="I115">
        <v>0</v>
      </c>
      <c r="J115">
        <v>0</v>
      </c>
      <c r="K115">
        <v>0</v>
      </c>
      <c r="L115">
        <v>0</v>
      </c>
      <c r="M115">
        <v>0</v>
      </c>
      <c r="N115">
        <v>0</v>
      </c>
      <c r="O115">
        <v>0</v>
      </c>
      <c r="P115">
        <v>0</v>
      </c>
      <c r="Q115">
        <v>0</v>
      </c>
      <c r="R115">
        <v>0</v>
      </c>
      <c r="S115">
        <v>0</v>
      </c>
      <c r="T115">
        <v>189661</v>
      </c>
      <c r="U115">
        <v>0</v>
      </c>
      <c r="V115">
        <v>1336485</v>
      </c>
      <c r="W115">
        <v>0</v>
      </c>
      <c r="X115">
        <v>7792806</v>
      </c>
      <c r="Y115">
        <v>0</v>
      </c>
      <c r="Z115">
        <v>155000</v>
      </c>
      <c r="AA115">
        <v>0</v>
      </c>
      <c r="AB115">
        <v>0</v>
      </c>
      <c r="AC115">
        <v>0</v>
      </c>
      <c r="AD115">
        <v>0</v>
      </c>
      <c r="AE115">
        <v>0</v>
      </c>
      <c r="AF115">
        <v>69672879</v>
      </c>
      <c r="AG115">
        <v>0</v>
      </c>
      <c r="AH115">
        <v>0</v>
      </c>
      <c r="AI115">
        <v>129875</v>
      </c>
      <c r="AJ115">
        <v>0</v>
      </c>
      <c r="AK115">
        <v>0</v>
      </c>
      <c r="AL115">
        <v>0</v>
      </c>
      <c r="AM115">
        <v>0</v>
      </c>
      <c r="AN115">
        <v>17696444</v>
      </c>
      <c r="AO115">
        <v>0</v>
      </c>
      <c r="AP115">
        <v>0</v>
      </c>
      <c r="AQ115">
        <v>0</v>
      </c>
      <c r="AR115">
        <v>0</v>
      </c>
      <c r="AS115">
        <v>0</v>
      </c>
      <c r="AT115">
        <v>371872</v>
      </c>
      <c r="AU115">
        <v>279811298</v>
      </c>
      <c r="AV115">
        <v>22098961</v>
      </c>
      <c r="AW115">
        <v>0</v>
      </c>
      <c r="AX115">
        <v>4696455</v>
      </c>
      <c r="AY115">
        <v>1006445</v>
      </c>
      <c r="AZ115">
        <v>0</v>
      </c>
      <c r="BA115">
        <v>0</v>
      </c>
      <c r="BB115">
        <v>89132</v>
      </c>
      <c r="BC115">
        <v>0</v>
      </c>
      <c r="BD115">
        <v>0</v>
      </c>
      <c r="BE115">
        <v>0</v>
      </c>
      <c r="BF115">
        <v>7552422</v>
      </c>
      <c r="BG115">
        <v>0</v>
      </c>
      <c r="BH115">
        <v>0</v>
      </c>
      <c r="BI115">
        <v>0</v>
      </c>
      <c r="BJ115">
        <v>0</v>
      </c>
      <c r="BK115">
        <v>0</v>
      </c>
      <c r="BL115">
        <v>33104364</v>
      </c>
      <c r="BM115">
        <v>1717630</v>
      </c>
      <c r="BN115">
        <v>1700</v>
      </c>
      <c r="BO115">
        <v>47809850</v>
      </c>
      <c r="BP115">
        <v>74541190</v>
      </c>
      <c r="BQ115">
        <v>1057</v>
      </c>
      <c r="BR115">
        <v>0</v>
      </c>
      <c r="BS115">
        <v>0</v>
      </c>
      <c r="BT115">
        <v>38994136</v>
      </c>
      <c r="BU115">
        <v>0</v>
      </c>
      <c r="BV115">
        <v>0</v>
      </c>
      <c r="BW115">
        <v>0</v>
      </c>
      <c r="BX115">
        <v>0</v>
      </c>
      <c r="BY115">
        <v>204461</v>
      </c>
      <c r="BZ115">
        <v>0</v>
      </c>
      <c r="CA115">
        <v>0</v>
      </c>
      <c r="CB115">
        <v>118409</v>
      </c>
      <c r="CC115">
        <v>0</v>
      </c>
      <c r="CD115">
        <v>0</v>
      </c>
    </row>
    <row r="116" spans="1:82" x14ac:dyDescent="0.3">
      <c r="A116" s="1041">
        <v>516</v>
      </c>
      <c r="B116" s="1042" t="s">
        <v>263</v>
      </c>
      <c r="D116">
        <v>10047425</v>
      </c>
      <c r="E116">
        <v>15732651</v>
      </c>
      <c r="F116">
        <v>0</v>
      </c>
      <c r="G116">
        <v>12487757</v>
      </c>
      <c r="H116">
        <v>8117166</v>
      </c>
      <c r="I116">
        <v>1077125</v>
      </c>
      <c r="J116">
        <v>0</v>
      </c>
      <c r="K116">
        <v>6170091</v>
      </c>
      <c r="L116">
        <v>56808852</v>
      </c>
      <c r="M116">
        <v>0</v>
      </c>
      <c r="N116">
        <v>0</v>
      </c>
      <c r="O116">
        <v>0</v>
      </c>
      <c r="P116">
        <v>3989796</v>
      </c>
      <c r="Q116">
        <v>61845195</v>
      </c>
      <c r="R116">
        <v>0</v>
      </c>
      <c r="S116">
        <v>6795141</v>
      </c>
      <c r="T116">
        <v>4618169</v>
      </c>
      <c r="U116">
        <v>1882509</v>
      </c>
      <c r="V116">
        <v>33844731</v>
      </c>
      <c r="W116">
        <v>0</v>
      </c>
      <c r="X116">
        <v>0</v>
      </c>
      <c r="Y116">
        <v>15551130</v>
      </c>
      <c r="Z116">
        <v>49908762</v>
      </c>
      <c r="AA116">
        <v>2780186</v>
      </c>
      <c r="AB116">
        <v>4495370</v>
      </c>
      <c r="AC116">
        <v>0</v>
      </c>
      <c r="AD116">
        <v>0</v>
      </c>
      <c r="AE116">
        <v>0</v>
      </c>
      <c r="AF116">
        <v>218519292</v>
      </c>
      <c r="AG116">
        <v>0</v>
      </c>
      <c r="AH116">
        <v>2337098</v>
      </c>
      <c r="AI116">
        <v>3071875</v>
      </c>
      <c r="AJ116">
        <v>2871297</v>
      </c>
      <c r="AK116">
        <v>268756</v>
      </c>
      <c r="AL116">
        <v>163711349</v>
      </c>
      <c r="AM116">
        <v>0</v>
      </c>
      <c r="AN116">
        <v>23463499</v>
      </c>
      <c r="AO116">
        <v>0</v>
      </c>
      <c r="AP116">
        <v>26416635</v>
      </c>
      <c r="AQ116">
        <v>0</v>
      </c>
      <c r="AR116">
        <v>0</v>
      </c>
      <c r="AS116">
        <v>6763863</v>
      </c>
      <c r="AT116">
        <v>5901708</v>
      </c>
      <c r="AU116">
        <v>70664536</v>
      </c>
      <c r="AV116">
        <v>410055821</v>
      </c>
      <c r="AW116">
        <v>6763424</v>
      </c>
      <c r="AX116">
        <v>0</v>
      </c>
      <c r="AY116">
        <v>2158042</v>
      </c>
      <c r="AZ116">
        <v>4489141</v>
      </c>
      <c r="BA116">
        <v>4396510</v>
      </c>
      <c r="BB116">
        <v>18411411</v>
      </c>
      <c r="BC116">
        <v>4216086</v>
      </c>
      <c r="BD116">
        <v>0</v>
      </c>
      <c r="BE116">
        <v>1540777</v>
      </c>
      <c r="BF116">
        <v>42543779</v>
      </c>
      <c r="BG116">
        <v>0</v>
      </c>
      <c r="BH116">
        <v>46686491</v>
      </c>
      <c r="BI116">
        <v>9286867</v>
      </c>
      <c r="BJ116">
        <v>0</v>
      </c>
      <c r="BK116">
        <v>0</v>
      </c>
      <c r="BL116">
        <v>87511067</v>
      </c>
      <c r="BM116">
        <v>118592106</v>
      </c>
      <c r="BN116">
        <v>23139476</v>
      </c>
      <c r="BO116">
        <v>37777978</v>
      </c>
      <c r="BP116">
        <v>0</v>
      </c>
      <c r="BQ116">
        <v>6532883</v>
      </c>
      <c r="BR116">
        <v>38524394</v>
      </c>
      <c r="BS116">
        <v>0</v>
      </c>
      <c r="BT116">
        <v>37057758</v>
      </c>
      <c r="BU116">
        <v>4775036</v>
      </c>
      <c r="BV116">
        <v>0</v>
      </c>
      <c r="BW116">
        <v>26120667</v>
      </c>
      <c r="BX116">
        <v>0</v>
      </c>
      <c r="BY116">
        <v>0</v>
      </c>
      <c r="BZ116">
        <v>2370376</v>
      </c>
      <c r="CA116">
        <v>0</v>
      </c>
      <c r="CB116">
        <v>2049524</v>
      </c>
      <c r="CC116">
        <v>0</v>
      </c>
      <c r="CD116">
        <v>0</v>
      </c>
    </row>
    <row r="117" spans="1:82" x14ac:dyDescent="0.3">
      <c r="A117" s="1041">
        <v>517</v>
      </c>
      <c r="B117" s="1042" t="s">
        <v>264</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117375799</v>
      </c>
      <c r="AA117">
        <v>0</v>
      </c>
      <c r="AB117">
        <v>0</v>
      </c>
      <c r="AC117">
        <v>0</v>
      </c>
      <c r="AD117">
        <v>0</v>
      </c>
      <c r="AE117">
        <v>0</v>
      </c>
      <c r="AF117">
        <v>0</v>
      </c>
      <c r="AG117">
        <v>0</v>
      </c>
      <c r="AH117">
        <v>0</v>
      </c>
      <c r="AI117">
        <v>0</v>
      </c>
      <c r="AJ117">
        <v>0</v>
      </c>
      <c r="AK117">
        <v>0</v>
      </c>
      <c r="AL117">
        <v>0</v>
      </c>
      <c r="AM117">
        <v>7650432</v>
      </c>
      <c r="AN117">
        <v>17091575</v>
      </c>
      <c r="AO117">
        <v>0</v>
      </c>
      <c r="AP117">
        <v>0</v>
      </c>
      <c r="AQ117">
        <v>0</v>
      </c>
      <c r="AR117">
        <v>0</v>
      </c>
      <c r="AS117">
        <v>0</v>
      </c>
      <c r="AT117">
        <v>0</v>
      </c>
      <c r="AU117">
        <v>704559461</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109590615</v>
      </c>
      <c r="BP117">
        <v>470046306</v>
      </c>
      <c r="BQ117">
        <v>0</v>
      </c>
      <c r="BR117">
        <v>203500</v>
      </c>
      <c r="BS117">
        <v>0</v>
      </c>
      <c r="BT117">
        <v>753434</v>
      </c>
      <c r="BU117">
        <v>0</v>
      </c>
      <c r="BV117">
        <v>2307002</v>
      </c>
      <c r="BW117">
        <v>184026</v>
      </c>
      <c r="BX117">
        <v>0</v>
      </c>
      <c r="BY117">
        <v>164886459</v>
      </c>
      <c r="BZ117">
        <v>0</v>
      </c>
      <c r="CA117">
        <v>0</v>
      </c>
      <c r="CB117">
        <v>0</v>
      </c>
      <c r="CC117">
        <v>0</v>
      </c>
      <c r="CD117">
        <v>0</v>
      </c>
    </row>
    <row r="118" spans="1:82" x14ac:dyDescent="0.3">
      <c r="A118" s="1041">
        <v>518</v>
      </c>
      <c r="B118" s="1042" t="s">
        <v>265</v>
      </c>
      <c r="D118">
        <v>188865</v>
      </c>
      <c r="E118">
        <v>844203</v>
      </c>
      <c r="F118">
        <v>0</v>
      </c>
      <c r="G118">
        <v>604943</v>
      </c>
      <c r="H118">
        <v>43672</v>
      </c>
      <c r="I118">
        <v>0</v>
      </c>
      <c r="J118">
        <v>0</v>
      </c>
      <c r="K118">
        <v>0</v>
      </c>
      <c r="L118">
        <v>2406770</v>
      </c>
      <c r="M118">
        <v>0</v>
      </c>
      <c r="N118">
        <v>0</v>
      </c>
      <c r="O118">
        <v>0</v>
      </c>
      <c r="P118">
        <v>15388</v>
      </c>
      <c r="Q118">
        <v>8807942</v>
      </c>
      <c r="R118">
        <v>0</v>
      </c>
      <c r="S118">
        <v>110299</v>
      </c>
      <c r="T118">
        <v>546934</v>
      </c>
      <c r="U118">
        <v>198494</v>
      </c>
      <c r="V118">
        <v>1813966</v>
      </c>
      <c r="W118">
        <v>0</v>
      </c>
      <c r="X118">
        <v>522659</v>
      </c>
      <c r="Y118">
        <v>337016</v>
      </c>
      <c r="Z118">
        <v>2934566</v>
      </c>
      <c r="AA118">
        <v>0</v>
      </c>
      <c r="AB118">
        <v>458516</v>
      </c>
      <c r="AC118">
        <v>0</v>
      </c>
      <c r="AD118">
        <v>0</v>
      </c>
      <c r="AE118">
        <v>0</v>
      </c>
      <c r="AF118">
        <v>87268160</v>
      </c>
      <c r="AG118">
        <v>0</v>
      </c>
      <c r="AH118">
        <v>81308</v>
      </c>
      <c r="AI118">
        <v>566985</v>
      </c>
      <c r="AJ118">
        <v>0</v>
      </c>
      <c r="AK118">
        <v>3358</v>
      </c>
      <c r="AL118">
        <v>13497076</v>
      </c>
      <c r="AM118">
        <v>0</v>
      </c>
      <c r="AN118">
        <v>4030672</v>
      </c>
      <c r="AO118">
        <v>0</v>
      </c>
      <c r="AP118">
        <v>2475444</v>
      </c>
      <c r="AQ118">
        <v>0</v>
      </c>
      <c r="AR118">
        <v>0</v>
      </c>
      <c r="AS118">
        <v>252802</v>
      </c>
      <c r="AT118">
        <v>15297</v>
      </c>
      <c r="AU118">
        <v>157049182</v>
      </c>
      <c r="AV118">
        <v>27175619</v>
      </c>
      <c r="AW118">
        <v>382088</v>
      </c>
      <c r="AX118">
        <v>213480</v>
      </c>
      <c r="AY118">
        <v>291034</v>
      </c>
      <c r="AZ118">
        <v>199604</v>
      </c>
      <c r="BA118">
        <v>126388</v>
      </c>
      <c r="BB118">
        <v>1964987</v>
      </c>
      <c r="BC118">
        <v>6338</v>
      </c>
      <c r="BD118">
        <v>0</v>
      </c>
      <c r="BE118">
        <v>71284</v>
      </c>
      <c r="BF118">
        <v>3633657</v>
      </c>
      <c r="BG118">
        <v>0</v>
      </c>
      <c r="BH118">
        <v>3738550</v>
      </c>
      <c r="BI118">
        <v>290213</v>
      </c>
      <c r="BJ118">
        <v>0</v>
      </c>
      <c r="BK118">
        <v>0</v>
      </c>
      <c r="BL118">
        <v>6263124</v>
      </c>
      <c r="BM118">
        <v>20779639</v>
      </c>
      <c r="BN118">
        <v>657333</v>
      </c>
      <c r="BO118">
        <v>15978728</v>
      </c>
      <c r="BP118">
        <v>12594234</v>
      </c>
      <c r="BQ118">
        <v>15317</v>
      </c>
      <c r="BR118">
        <v>1547708</v>
      </c>
      <c r="BS118">
        <v>0</v>
      </c>
      <c r="BT118">
        <v>3137471</v>
      </c>
      <c r="BU118">
        <v>143491</v>
      </c>
      <c r="BV118">
        <v>0</v>
      </c>
      <c r="BW118">
        <v>1073625</v>
      </c>
      <c r="BX118">
        <v>0</v>
      </c>
      <c r="BY118">
        <v>12828593</v>
      </c>
      <c r="BZ118">
        <v>140431</v>
      </c>
      <c r="CA118">
        <v>0</v>
      </c>
      <c r="CB118">
        <v>29283</v>
      </c>
      <c r="CC118">
        <v>0</v>
      </c>
      <c r="CD118">
        <v>0</v>
      </c>
    </row>
    <row r="119" spans="1:82" x14ac:dyDescent="0.3">
      <c r="A119" s="155">
        <v>519</v>
      </c>
      <c r="B119" t="s">
        <v>266</v>
      </c>
      <c r="D119">
        <v>4089</v>
      </c>
      <c r="E119">
        <v>0</v>
      </c>
      <c r="F119">
        <v>0</v>
      </c>
      <c r="G119">
        <v>11227</v>
      </c>
      <c r="H119">
        <v>0</v>
      </c>
      <c r="I119">
        <v>0</v>
      </c>
      <c r="J119">
        <v>0</v>
      </c>
      <c r="K119">
        <v>0</v>
      </c>
      <c r="L119">
        <v>0</v>
      </c>
      <c r="M119">
        <v>0</v>
      </c>
      <c r="N119">
        <v>0</v>
      </c>
      <c r="O119">
        <v>0</v>
      </c>
      <c r="P119">
        <v>0</v>
      </c>
      <c r="Q119">
        <v>0</v>
      </c>
      <c r="R119">
        <v>0</v>
      </c>
      <c r="S119">
        <v>0</v>
      </c>
      <c r="T119">
        <v>4742</v>
      </c>
      <c r="U119">
        <v>0</v>
      </c>
      <c r="V119">
        <v>31726</v>
      </c>
      <c r="W119">
        <v>0</v>
      </c>
      <c r="X119">
        <v>39275</v>
      </c>
      <c r="Y119">
        <v>0</v>
      </c>
      <c r="Z119">
        <v>0</v>
      </c>
      <c r="AA119">
        <v>0</v>
      </c>
      <c r="AB119">
        <v>0</v>
      </c>
      <c r="AC119">
        <v>0</v>
      </c>
      <c r="AD119">
        <v>0</v>
      </c>
      <c r="AE119">
        <v>0</v>
      </c>
      <c r="AF119">
        <v>1313051</v>
      </c>
      <c r="AG119">
        <v>0</v>
      </c>
      <c r="AH119">
        <v>0</v>
      </c>
      <c r="AI119">
        <v>2550</v>
      </c>
      <c r="AJ119">
        <v>0</v>
      </c>
      <c r="AK119">
        <v>0</v>
      </c>
      <c r="AL119">
        <v>0</v>
      </c>
      <c r="AM119">
        <v>0</v>
      </c>
      <c r="AN119">
        <v>235202</v>
      </c>
      <c r="AO119">
        <v>0</v>
      </c>
      <c r="AP119">
        <v>0</v>
      </c>
      <c r="AQ119">
        <v>0</v>
      </c>
      <c r="AR119">
        <v>0</v>
      </c>
      <c r="AS119">
        <v>0</v>
      </c>
      <c r="AT119">
        <v>0</v>
      </c>
      <c r="AU119">
        <v>8729116</v>
      </c>
      <c r="AV119">
        <v>712055</v>
      </c>
      <c r="AW119">
        <v>0</v>
      </c>
      <c r="AX119">
        <v>156435</v>
      </c>
      <c r="AY119">
        <v>19955</v>
      </c>
      <c r="AZ119">
        <v>0</v>
      </c>
      <c r="BA119">
        <v>0</v>
      </c>
      <c r="BB119">
        <v>2765</v>
      </c>
      <c r="BC119">
        <v>0</v>
      </c>
      <c r="BD119">
        <v>0</v>
      </c>
      <c r="BE119">
        <v>0</v>
      </c>
      <c r="BF119">
        <v>156213</v>
      </c>
      <c r="BG119">
        <v>0</v>
      </c>
      <c r="BH119">
        <v>0</v>
      </c>
      <c r="BI119">
        <v>0</v>
      </c>
      <c r="BJ119">
        <v>0</v>
      </c>
      <c r="BK119">
        <v>0</v>
      </c>
      <c r="BL119">
        <v>617300</v>
      </c>
      <c r="BM119">
        <v>53909</v>
      </c>
      <c r="BN119">
        <v>0</v>
      </c>
      <c r="BO119">
        <v>1378224</v>
      </c>
      <c r="BP119">
        <v>1446347</v>
      </c>
      <c r="BQ119">
        <v>391</v>
      </c>
      <c r="BR119">
        <v>0</v>
      </c>
      <c r="BS119">
        <v>0</v>
      </c>
      <c r="BT119">
        <v>677827</v>
      </c>
      <c r="BU119">
        <v>0</v>
      </c>
      <c r="BV119">
        <v>0</v>
      </c>
      <c r="BW119">
        <v>0</v>
      </c>
      <c r="BX119">
        <v>0</v>
      </c>
      <c r="BY119">
        <v>5108</v>
      </c>
      <c r="BZ119">
        <v>0</v>
      </c>
      <c r="CA119">
        <v>0</v>
      </c>
      <c r="CB119">
        <v>95</v>
      </c>
      <c r="CC119">
        <v>0</v>
      </c>
      <c r="CD119">
        <v>0</v>
      </c>
    </row>
    <row r="120" spans="1:82" x14ac:dyDescent="0.3">
      <c r="A120" s="155">
        <v>520</v>
      </c>
      <c r="B120" t="s">
        <v>267</v>
      </c>
      <c r="D120">
        <v>183194</v>
      </c>
      <c r="E120">
        <v>297625</v>
      </c>
      <c r="F120">
        <v>0</v>
      </c>
      <c r="G120">
        <v>326177</v>
      </c>
      <c r="H120">
        <v>197014</v>
      </c>
      <c r="I120">
        <v>16381</v>
      </c>
      <c r="J120">
        <v>0</v>
      </c>
      <c r="K120">
        <v>151355</v>
      </c>
      <c r="L120">
        <v>1034208</v>
      </c>
      <c r="M120">
        <v>0</v>
      </c>
      <c r="N120">
        <v>0</v>
      </c>
      <c r="O120">
        <v>0</v>
      </c>
      <c r="P120">
        <v>117829</v>
      </c>
      <c r="Q120">
        <v>221855</v>
      </c>
      <c r="R120">
        <v>0</v>
      </c>
      <c r="S120">
        <v>142338</v>
      </c>
      <c r="T120">
        <v>74945</v>
      </c>
      <c r="U120">
        <v>46456</v>
      </c>
      <c r="V120">
        <v>603129</v>
      </c>
      <c r="W120">
        <v>0</v>
      </c>
      <c r="X120">
        <v>0</v>
      </c>
      <c r="Y120">
        <v>321436</v>
      </c>
      <c r="Z120">
        <v>1247072</v>
      </c>
      <c r="AA120">
        <v>69505</v>
      </c>
      <c r="AB120">
        <v>80792</v>
      </c>
      <c r="AC120">
        <v>0</v>
      </c>
      <c r="AD120">
        <v>0</v>
      </c>
      <c r="AE120">
        <v>0</v>
      </c>
      <c r="AF120">
        <v>3253059</v>
      </c>
      <c r="AG120">
        <v>0</v>
      </c>
      <c r="AH120">
        <v>43281</v>
      </c>
      <c r="AI120">
        <v>58244</v>
      </c>
      <c r="AJ120">
        <v>71782</v>
      </c>
      <c r="AK120">
        <v>5375</v>
      </c>
      <c r="AL120">
        <v>491104</v>
      </c>
      <c r="AM120">
        <v>0</v>
      </c>
      <c r="AN120">
        <v>355431</v>
      </c>
      <c r="AO120">
        <v>0</v>
      </c>
      <c r="AP120">
        <v>559800</v>
      </c>
      <c r="AQ120">
        <v>0</v>
      </c>
      <c r="AR120">
        <v>0</v>
      </c>
      <c r="AS120">
        <v>140833</v>
      </c>
      <c r="AT120">
        <v>132194</v>
      </c>
      <c r="AU120">
        <v>4203735</v>
      </c>
      <c r="AV120">
        <v>10137677</v>
      </c>
      <c r="AW120">
        <v>121560</v>
      </c>
      <c r="AX120">
        <v>0</v>
      </c>
      <c r="AY120">
        <v>44585</v>
      </c>
      <c r="AZ120">
        <v>91776</v>
      </c>
      <c r="BA120">
        <v>79143</v>
      </c>
      <c r="BB120">
        <v>476968</v>
      </c>
      <c r="BC120">
        <v>140536</v>
      </c>
      <c r="BD120">
        <v>0</v>
      </c>
      <c r="BE120">
        <v>36976</v>
      </c>
      <c r="BF120">
        <v>1321424</v>
      </c>
      <c r="BG120">
        <v>0</v>
      </c>
      <c r="BH120">
        <v>1047634</v>
      </c>
      <c r="BI120">
        <v>187275</v>
      </c>
      <c r="BJ120">
        <v>0</v>
      </c>
      <c r="BK120">
        <v>0</v>
      </c>
      <c r="BL120">
        <v>1398538</v>
      </c>
      <c r="BM120">
        <v>2907642</v>
      </c>
      <c r="BN120">
        <v>748769</v>
      </c>
      <c r="BO120">
        <v>624022</v>
      </c>
      <c r="BP120">
        <v>0</v>
      </c>
      <c r="BQ120">
        <v>90202</v>
      </c>
      <c r="BR120">
        <v>889959</v>
      </c>
      <c r="BS120">
        <v>0</v>
      </c>
      <c r="BT120">
        <v>976375</v>
      </c>
      <c r="BU120">
        <v>139332</v>
      </c>
      <c r="BV120">
        <v>0</v>
      </c>
      <c r="BW120">
        <v>522413</v>
      </c>
      <c r="BX120">
        <v>0</v>
      </c>
      <c r="BY120">
        <v>0</v>
      </c>
      <c r="BZ120">
        <v>40593</v>
      </c>
      <c r="CA120">
        <v>0</v>
      </c>
      <c r="CB120">
        <v>29801</v>
      </c>
      <c r="CC120">
        <v>0</v>
      </c>
      <c r="CD120">
        <v>0</v>
      </c>
    </row>
    <row r="121" spans="1:82" x14ac:dyDescent="0.3">
      <c r="A121" s="155">
        <v>521</v>
      </c>
      <c r="B121" t="s">
        <v>268</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3686143</v>
      </c>
      <c r="AA121">
        <v>0</v>
      </c>
      <c r="AB121">
        <v>0</v>
      </c>
      <c r="AC121">
        <v>0</v>
      </c>
      <c r="AD121">
        <v>0</v>
      </c>
      <c r="AE121">
        <v>0</v>
      </c>
      <c r="AF121">
        <v>0</v>
      </c>
      <c r="AG121">
        <v>0</v>
      </c>
      <c r="AH121">
        <v>0</v>
      </c>
      <c r="AI121">
        <v>0</v>
      </c>
      <c r="AJ121">
        <v>0</v>
      </c>
      <c r="AK121">
        <v>0</v>
      </c>
      <c r="AL121">
        <v>0</v>
      </c>
      <c r="AM121">
        <v>190993</v>
      </c>
      <c r="AN121">
        <v>308777</v>
      </c>
      <c r="AO121">
        <v>0</v>
      </c>
      <c r="AP121">
        <v>0</v>
      </c>
      <c r="AQ121">
        <v>0</v>
      </c>
      <c r="AR121">
        <v>0</v>
      </c>
      <c r="AS121">
        <v>0</v>
      </c>
      <c r="AT121">
        <v>0</v>
      </c>
      <c r="AU121">
        <v>16289556</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2319495</v>
      </c>
      <c r="BP121">
        <v>12978924</v>
      </c>
      <c r="BQ121">
        <v>0</v>
      </c>
      <c r="BR121">
        <v>0</v>
      </c>
      <c r="BS121">
        <v>0</v>
      </c>
      <c r="BT121">
        <v>23195</v>
      </c>
      <c r="BU121">
        <v>0</v>
      </c>
      <c r="BV121">
        <v>57675</v>
      </c>
      <c r="BW121">
        <v>3681</v>
      </c>
      <c r="BX121">
        <v>0</v>
      </c>
      <c r="BY121">
        <v>3997158</v>
      </c>
      <c r="BZ121">
        <v>0</v>
      </c>
      <c r="CA121">
        <v>0</v>
      </c>
      <c r="CB121">
        <v>0</v>
      </c>
      <c r="CC121">
        <v>0</v>
      </c>
      <c r="CD121">
        <v>0</v>
      </c>
    </row>
    <row r="122" spans="1:82" x14ac:dyDescent="0.3">
      <c r="A122" s="155">
        <v>522</v>
      </c>
      <c r="B122" t="s">
        <v>269</v>
      </c>
      <c r="D122">
        <v>0</v>
      </c>
      <c r="E122">
        <v>18635</v>
      </c>
      <c r="F122">
        <v>0</v>
      </c>
      <c r="G122">
        <v>14969</v>
      </c>
      <c r="H122">
        <v>650</v>
      </c>
      <c r="I122">
        <v>0</v>
      </c>
      <c r="J122">
        <v>0</v>
      </c>
      <c r="K122">
        <v>0</v>
      </c>
      <c r="L122">
        <v>110321</v>
      </c>
      <c r="M122">
        <v>0</v>
      </c>
      <c r="N122">
        <v>0</v>
      </c>
      <c r="O122">
        <v>0</v>
      </c>
      <c r="P122">
        <v>2802</v>
      </c>
      <c r="Q122">
        <v>1229430</v>
      </c>
      <c r="R122">
        <v>0</v>
      </c>
      <c r="S122">
        <v>0</v>
      </c>
      <c r="T122">
        <v>16148</v>
      </c>
      <c r="U122">
        <v>12768</v>
      </c>
      <c r="V122">
        <v>81050</v>
      </c>
      <c r="W122">
        <v>0</v>
      </c>
      <c r="X122">
        <v>17947</v>
      </c>
      <c r="Y122">
        <v>6720</v>
      </c>
      <c r="Z122">
        <v>292292</v>
      </c>
      <c r="AA122">
        <v>0</v>
      </c>
      <c r="AB122">
        <v>17575</v>
      </c>
      <c r="AC122">
        <v>0</v>
      </c>
      <c r="AD122">
        <v>0</v>
      </c>
      <c r="AE122">
        <v>0</v>
      </c>
      <c r="AF122">
        <v>3989334</v>
      </c>
      <c r="AG122">
        <v>0</v>
      </c>
      <c r="AH122">
        <v>2230</v>
      </c>
      <c r="AI122">
        <v>41516</v>
      </c>
      <c r="AJ122">
        <v>0</v>
      </c>
      <c r="AK122">
        <v>0</v>
      </c>
      <c r="AL122">
        <v>393563</v>
      </c>
      <c r="AM122">
        <v>0</v>
      </c>
      <c r="AN122">
        <v>186686</v>
      </c>
      <c r="AO122">
        <v>0</v>
      </c>
      <c r="AP122">
        <v>136362</v>
      </c>
      <c r="AQ122">
        <v>0</v>
      </c>
      <c r="AR122">
        <v>0</v>
      </c>
      <c r="AS122">
        <v>7082</v>
      </c>
      <c r="AT122">
        <v>0</v>
      </c>
      <c r="AU122">
        <v>4001585</v>
      </c>
      <c r="AV122">
        <v>1516245</v>
      </c>
      <c r="AW122">
        <v>32088</v>
      </c>
      <c r="AX122">
        <v>6332</v>
      </c>
      <c r="AY122">
        <v>22809</v>
      </c>
      <c r="AZ122">
        <v>10663</v>
      </c>
      <c r="BA122">
        <v>5930</v>
      </c>
      <c r="BB122">
        <v>121606</v>
      </c>
      <c r="BC122">
        <v>906</v>
      </c>
      <c r="BD122">
        <v>0</v>
      </c>
      <c r="BE122">
        <v>6625</v>
      </c>
      <c r="BF122">
        <v>371439</v>
      </c>
      <c r="BG122">
        <v>0</v>
      </c>
      <c r="BH122">
        <v>303172</v>
      </c>
      <c r="BI122">
        <v>12809</v>
      </c>
      <c r="BJ122">
        <v>0</v>
      </c>
      <c r="BK122">
        <v>0</v>
      </c>
      <c r="BL122">
        <v>371321</v>
      </c>
      <c r="BM122">
        <v>828210</v>
      </c>
      <c r="BN122">
        <v>29982</v>
      </c>
      <c r="BO122">
        <v>1404707</v>
      </c>
      <c r="BP122">
        <v>516235</v>
      </c>
      <c r="BQ122">
        <v>0</v>
      </c>
      <c r="BR122">
        <v>78072</v>
      </c>
      <c r="BS122">
        <v>0</v>
      </c>
      <c r="BT122">
        <v>141693</v>
      </c>
      <c r="BU122">
        <v>34</v>
      </c>
      <c r="BV122">
        <v>0</v>
      </c>
      <c r="BW122">
        <v>96017</v>
      </c>
      <c r="BX122">
        <v>0</v>
      </c>
      <c r="BY122">
        <v>473305</v>
      </c>
      <c r="BZ122">
        <v>2195</v>
      </c>
      <c r="CA122">
        <v>0</v>
      </c>
      <c r="CB122">
        <v>3880</v>
      </c>
      <c r="CC122">
        <v>0</v>
      </c>
      <c r="CD122">
        <v>0</v>
      </c>
    </row>
    <row r="123" spans="1:82" x14ac:dyDescent="0.3">
      <c r="A123" s="552">
        <v>523</v>
      </c>
      <c r="B123" s="553" t="s">
        <v>270</v>
      </c>
      <c r="D123">
        <v>18057</v>
      </c>
      <c r="E123">
        <v>12758</v>
      </c>
      <c r="F123">
        <v>0</v>
      </c>
      <c r="G123">
        <v>423670</v>
      </c>
      <c r="H123">
        <v>0</v>
      </c>
      <c r="I123">
        <v>0</v>
      </c>
      <c r="J123">
        <v>0</v>
      </c>
      <c r="K123">
        <v>0</v>
      </c>
      <c r="L123">
        <v>0</v>
      </c>
      <c r="M123">
        <v>0</v>
      </c>
      <c r="N123">
        <v>0</v>
      </c>
      <c r="O123">
        <v>0</v>
      </c>
      <c r="P123">
        <v>0</v>
      </c>
      <c r="Q123">
        <v>0</v>
      </c>
      <c r="R123">
        <v>0</v>
      </c>
      <c r="S123">
        <v>0</v>
      </c>
      <c r="T123">
        <v>102164</v>
      </c>
      <c r="U123">
        <v>0</v>
      </c>
      <c r="V123">
        <v>211604</v>
      </c>
      <c r="W123">
        <v>0</v>
      </c>
      <c r="X123">
        <v>3645315</v>
      </c>
      <c r="Y123">
        <v>0</v>
      </c>
      <c r="Z123">
        <v>0</v>
      </c>
      <c r="AA123">
        <v>0</v>
      </c>
      <c r="AB123">
        <v>0</v>
      </c>
      <c r="AC123">
        <v>0</v>
      </c>
      <c r="AD123">
        <v>0</v>
      </c>
      <c r="AE123">
        <v>0</v>
      </c>
      <c r="AF123">
        <v>42806376</v>
      </c>
      <c r="AG123">
        <v>0</v>
      </c>
      <c r="AH123">
        <v>0</v>
      </c>
      <c r="AI123">
        <v>39605</v>
      </c>
      <c r="AJ123">
        <v>0</v>
      </c>
      <c r="AK123">
        <v>0</v>
      </c>
      <c r="AL123">
        <v>0</v>
      </c>
      <c r="AM123">
        <v>0</v>
      </c>
      <c r="AN123">
        <v>8188515</v>
      </c>
      <c r="AO123">
        <v>0</v>
      </c>
      <c r="AP123">
        <v>0</v>
      </c>
      <c r="AQ123">
        <v>0</v>
      </c>
      <c r="AR123">
        <v>0</v>
      </c>
      <c r="AS123">
        <v>0</v>
      </c>
      <c r="AT123">
        <v>371872</v>
      </c>
      <c r="AU123">
        <v>121521195</v>
      </c>
      <c r="AV123">
        <v>3910098</v>
      </c>
      <c r="AW123">
        <v>0</v>
      </c>
      <c r="AX123">
        <v>2414050</v>
      </c>
      <c r="AY123">
        <v>192698</v>
      </c>
      <c r="AZ123">
        <v>0</v>
      </c>
      <c r="BA123">
        <v>0</v>
      </c>
      <c r="BB123">
        <v>84062</v>
      </c>
      <c r="BC123">
        <v>0</v>
      </c>
      <c r="BD123">
        <v>0</v>
      </c>
      <c r="BE123">
        <v>0</v>
      </c>
      <c r="BF123">
        <v>858289</v>
      </c>
      <c r="BG123">
        <v>0</v>
      </c>
      <c r="BH123">
        <v>0</v>
      </c>
      <c r="BI123">
        <v>0</v>
      </c>
      <c r="BJ123">
        <v>0</v>
      </c>
      <c r="BK123">
        <v>0</v>
      </c>
      <c r="BL123">
        <v>20895496</v>
      </c>
      <c r="BM123">
        <v>936334</v>
      </c>
      <c r="BN123">
        <v>1700</v>
      </c>
      <c r="BO123">
        <v>26496136</v>
      </c>
      <c r="BP123">
        <v>51318976</v>
      </c>
      <c r="BQ123">
        <v>1248</v>
      </c>
      <c r="BR123">
        <v>0</v>
      </c>
      <c r="BS123">
        <v>0</v>
      </c>
      <c r="BT123">
        <v>12492204</v>
      </c>
      <c r="BU123">
        <v>0</v>
      </c>
      <c r="BV123">
        <v>0</v>
      </c>
      <c r="BW123">
        <v>0</v>
      </c>
      <c r="BX123">
        <v>0</v>
      </c>
      <c r="BY123">
        <v>92859</v>
      </c>
      <c r="BZ123">
        <v>0</v>
      </c>
      <c r="CA123">
        <v>0</v>
      </c>
      <c r="CB123">
        <v>118066</v>
      </c>
      <c r="CC123">
        <v>0</v>
      </c>
      <c r="CD123">
        <v>0</v>
      </c>
    </row>
    <row r="124" spans="1:82" x14ac:dyDescent="0.3">
      <c r="A124" s="552">
        <v>524</v>
      </c>
      <c r="B124" s="553" t="s">
        <v>271</v>
      </c>
      <c r="D124">
        <v>2784884</v>
      </c>
      <c r="E124">
        <v>7038010</v>
      </c>
      <c r="F124">
        <v>0</v>
      </c>
      <c r="G124">
        <v>6577949</v>
      </c>
      <c r="H124">
        <v>3706877</v>
      </c>
      <c r="I124">
        <v>781297</v>
      </c>
      <c r="J124">
        <v>0</v>
      </c>
      <c r="K124">
        <v>1906862</v>
      </c>
      <c r="L124">
        <v>18661716</v>
      </c>
      <c r="M124">
        <v>0</v>
      </c>
      <c r="N124">
        <v>0</v>
      </c>
      <c r="O124">
        <v>0</v>
      </c>
      <c r="P124">
        <v>432207</v>
      </c>
      <c r="Q124">
        <v>26010716</v>
      </c>
      <c r="R124">
        <v>0</v>
      </c>
      <c r="S124">
        <v>3237943</v>
      </c>
      <c r="T124">
        <v>2543759</v>
      </c>
      <c r="U124">
        <v>1202375</v>
      </c>
      <c r="V124">
        <v>12426589</v>
      </c>
      <c r="W124">
        <v>0</v>
      </c>
      <c r="X124">
        <v>0</v>
      </c>
      <c r="Y124">
        <v>5990868</v>
      </c>
      <c r="Z124">
        <v>9563920</v>
      </c>
      <c r="AA124">
        <v>1303426</v>
      </c>
      <c r="AB124">
        <v>1298842</v>
      </c>
      <c r="AC124">
        <v>0</v>
      </c>
      <c r="AD124">
        <v>0</v>
      </c>
      <c r="AE124">
        <v>0</v>
      </c>
      <c r="AF124">
        <v>86097401</v>
      </c>
      <c r="AG124">
        <v>0</v>
      </c>
      <c r="AH124">
        <v>1601034</v>
      </c>
      <c r="AI124">
        <v>2144721</v>
      </c>
      <c r="AJ124">
        <v>1561851</v>
      </c>
      <c r="AK124">
        <v>155877</v>
      </c>
      <c r="AL124">
        <v>109297167</v>
      </c>
      <c r="AM124">
        <v>0</v>
      </c>
      <c r="AN124">
        <v>9126830</v>
      </c>
      <c r="AO124">
        <v>0</v>
      </c>
      <c r="AP124">
        <v>15111851</v>
      </c>
      <c r="AQ124">
        <v>0</v>
      </c>
      <c r="AR124">
        <v>0</v>
      </c>
      <c r="AS124">
        <v>2131913</v>
      </c>
      <c r="AT124">
        <v>1524948</v>
      </c>
      <c r="AU124">
        <v>42524441</v>
      </c>
      <c r="AV124">
        <v>183868306</v>
      </c>
      <c r="AW124">
        <v>3754449</v>
      </c>
      <c r="AX124">
        <v>0</v>
      </c>
      <c r="AY124">
        <v>1876122</v>
      </c>
      <c r="AZ124">
        <v>1481689</v>
      </c>
      <c r="BA124">
        <v>2053002</v>
      </c>
      <c r="BB124">
        <v>15395637</v>
      </c>
      <c r="BC124">
        <v>1545899</v>
      </c>
      <c r="BD124">
        <v>0</v>
      </c>
      <c r="BE124">
        <v>1032993</v>
      </c>
      <c r="BF124">
        <v>15091825</v>
      </c>
      <c r="BG124">
        <v>0</v>
      </c>
      <c r="BH124">
        <v>24770775</v>
      </c>
      <c r="BI124">
        <v>5417489</v>
      </c>
      <c r="BJ124">
        <v>0</v>
      </c>
      <c r="BK124">
        <v>0</v>
      </c>
      <c r="BL124">
        <v>21936901</v>
      </c>
      <c r="BM124">
        <v>48723969</v>
      </c>
      <c r="BN124">
        <v>12784617</v>
      </c>
      <c r="BO124">
        <v>19847187</v>
      </c>
      <c r="BP124">
        <v>0</v>
      </c>
      <c r="BQ124">
        <v>1194257</v>
      </c>
      <c r="BR124">
        <v>13540083</v>
      </c>
      <c r="BS124">
        <v>0</v>
      </c>
      <c r="BT124">
        <v>12373001</v>
      </c>
      <c r="BU124">
        <v>2679439</v>
      </c>
      <c r="BV124">
        <v>0</v>
      </c>
      <c r="BW124">
        <v>8279705</v>
      </c>
      <c r="BX124">
        <v>0</v>
      </c>
      <c r="BY124">
        <v>0</v>
      </c>
      <c r="BZ124">
        <v>931638</v>
      </c>
      <c r="CA124">
        <v>0</v>
      </c>
      <c r="CB124">
        <v>1306837</v>
      </c>
      <c r="CC124">
        <v>0</v>
      </c>
      <c r="CD124">
        <v>0</v>
      </c>
    </row>
    <row r="125" spans="1:82" x14ac:dyDescent="0.3">
      <c r="A125" s="552">
        <v>525</v>
      </c>
      <c r="B125" s="553" t="s">
        <v>272</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41916207</v>
      </c>
      <c r="AA125">
        <v>0</v>
      </c>
      <c r="AB125">
        <v>0</v>
      </c>
      <c r="AC125">
        <v>0</v>
      </c>
      <c r="AD125">
        <v>0</v>
      </c>
      <c r="AE125">
        <v>0</v>
      </c>
      <c r="AF125">
        <v>0</v>
      </c>
      <c r="AG125">
        <v>0</v>
      </c>
      <c r="AH125">
        <v>0</v>
      </c>
      <c r="AI125">
        <v>0</v>
      </c>
      <c r="AJ125">
        <v>0</v>
      </c>
      <c r="AK125">
        <v>0</v>
      </c>
      <c r="AL125">
        <v>0</v>
      </c>
      <c r="AM125">
        <v>1124088</v>
      </c>
      <c r="AN125">
        <v>5342103</v>
      </c>
      <c r="AO125">
        <v>0</v>
      </c>
      <c r="AP125">
        <v>0</v>
      </c>
      <c r="AQ125">
        <v>0</v>
      </c>
      <c r="AR125">
        <v>0</v>
      </c>
      <c r="AS125">
        <v>0</v>
      </c>
      <c r="AT125">
        <v>0</v>
      </c>
      <c r="AU125">
        <v>328004103</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45738022</v>
      </c>
      <c r="BP125">
        <v>216479679</v>
      </c>
      <c r="BQ125">
        <v>0</v>
      </c>
      <c r="BR125">
        <v>0</v>
      </c>
      <c r="BS125">
        <v>0</v>
      </c>
      <c r="BT125">
        <v>176293</v>
      </c>
      <c r="BU125">
        <v>0</v>
      </c>
      <c r="BV125">
        <v>86513</v>
      </c>
      <c r="BW125">
        <v>62283</v>
      </c>
      <c r="BX125">
        <v>0</v>
      </c>
      <c r="BY125">
        <v>47322987</v>
      </c>
      <c r="BZ125">
        <v>0</v>
      </c>
      <c r="CA125">
        <v>0</v>
      </c>
      <c r="CB125">
        <v>0</v>
      </c>
      <c r="CC125">
        <v>0</v>
      </c>
      <c r="CD125">
        <v>0</v>
      </c>
    </row>
    <row r="126" spans="1:82" x14ac:dyDescent="0.3">
      <c r="A126" s="552">
        <v>526</v>
      </c>
      <c r="B126" s="553" t="s">
        <v>273</v>
      </c>
      <c r="D126">
        <v>188865</v>
      </c>
      <c r="E126">
        <v>699855</v>
      </c>
      <c r="F126">
        <v>0</v>
      </c>
      <c r="G126">
        <v>570211</v>
      </c>
      <c r="H126">
        <v>38757</v>
      </c>
      <c r="I126">
        <v>0</v>
      </c>
      <c r="J126">
        <v>0</v>
      </c>
      <c r="K126">
        <v>0</v>
      </c>
      <c r="L126">
        <v>1781968</v>
      </c>
      <c r="M126">
        <v>0</v>
      </c>
      <c r="N126">
        <v>0</v>
      </c>
      <c r="O126">
        <v>0</v>
      </c>
      <c r="P126">
        <v>9417</v>
      </c>
      <c r="Q126">
        <v>7240996</v>
      </c>
      <c r="R126">
        <v>0</v>
      </c>
      <c r="S126">
        <v>110299</v>
      </c>
      <c r="T126">
        <v>469781</v>
      </c>
      <c r="U126">
        <v>142606</v>
      </c>
      <c r="V126">
        <v>1484477</v>
      </c>
      <c r="W126">
        <v>0</v>
      </c>
      <c r="X126">
        <v>361396</v>
      </c>
      <c r="Y126">
        <v>315740</v>
      </c>
      <c r="Z126">
        <v>2168555</v>
      </c>
      <c r="AA126">
        <v>0</v>
      </c>
      <c r="AB126">
        <v>325726</v>
      </c>
      <c r="AC126">
        <v>0</v>
      </c>
      <c r="AD126">
        <v>0</v>
      </c>
      <c r="AE126">
        <v>0</v>
      </c>
      <c r="AF126">
        <v>21457094</v>
      </c>
      <c r="AG126">
        <v>0</v>
      </c>
      <c r="AH126">
        <v>79077</v>
      </c>
      <c r="AI126">
        <v>347236</v>
      </c>
      <c r="AJ126">
        <v>0</v>
      </c>
      <c r="AK126">
        <v>3358</v>
      </c>
      <c r="AL126">
        <v>6880954</v>
      </c>
      <c r="AM126">
        <v>0</v>
      </c>
      <c r="AN126">
        <v>1920852</v>
      </c>
      <c r="AO126">
        <v>0</v>
      </c>
      <c r="AP126">
        <v>1261158</v>
      </c>
      <c r="AQ126">
        <v>0</v>
      </c>
      <c r="AR126">
        <v>0</v>
      </c>
      <c r="AS126">
        <v>211867</v>
      </c>
      <c r="AT126">
        <v>15297</v>
      </c>
      <c r="AU126">
        <v>48682262</v>
      </c>
      <c r="AV126">
        <v>19275180</v>
      </c>
      <c r="AW126">
        <v>246313</v>
      </c>
      <c r="AX126">
        <v>179153</v>
      </c>
      <c r="AY126">
        <v>197896</v>
      </c>
      <c r="AZ126">
        <v>156940</v>
      </c>
      <c r="BA126">
        <v>90668</v>
      </c>
      <c r="BB126">
        <v>1793890</v>
      </c>
      <c r="BC126">
        <v>6338</v>
      </c>
      <c r="BD126">
        <v>0</v>
      </c>
      <c r="BE126">
        <v>46993</v>
      </c>
      <c r="BF126">
        <v>1967229</v>
      </c>
      <c r="BG126">
        <v>0</v>
      </c>
      <c r="BH126">
        <v>2197125</v>
      </c>
      <c r="BI126">
        <v>283343</v>
      </c>
      <c r="BJ126">
        <v>0</v>
      </c>
      <c r="BK126">
        <v>0</v>
      </c>
      <c r="BL126">
        <v>4960289</v>
      </c>
      <c r="BM126">
        <v>17769386</v>
      </c>
      <c r="BN126">
        <v>554617</v>
      </c>
      <c r="BO126">
        <v>9293706</v>
      </c>
      <c r="BP126">
        <v>8272936</v>
      </c>
      <c r="BQ126">
        <v>15317</v>
      </c>
      <c r="BR126">
        <v>1145857</v>
      </c>
      <c r="BS126">
        <v>0</v>
      </c>
      <c r="BT126">
        <v>2354843</v>
      </c>
      <c r="BU126">
        <v>143491</v>
      </c>
      <c r="BV126">
        <v>0</v>
      </c>
      <c r="BW126">
        <v>538189</v>
      </c>
      <c r="BX126">
        <v>0</v>
      </c>
      <c r="BY126">
        <v>7800343</v>
      </c>
      <c r="BZ126">
        <v>54537</v>
      </c>
      <c r="CA126">
        <v>0</v>
      </c>
      <c r="CB126">
        <v>29284</v>
      </c>
      <c r="CC126">
        <v>0</v>
      </c>
      <c r="CD126">
        <v>0</v>
      </c>
    </row>
    <row r="127" spans="1:82" x14ac:dyDescent="0.3">
      <c r="A127" s="155">
        <v>527</v>
      </c>
      <c r="B127" s="551" t="s">
        <v>274</v>
      </c>
      <c r="D127">
        <v>0</v>
      </c>
      <c r="E127">
        <v>0</v>
      </c>
      <c r="F127">
        <v>0</v>
      </c>
      <c r="G127">
        <v>0</v>
      </c>
      <c r="H127">
        <v>0</v>
      </c>
      <c r="I127">
        <v>0</v>
      </c>
      <c r="J127">
        <v>0</v>
      </c>
      <c r="K127">
        <v>0</v>
      </c>
      <c r="L127">
        <v>58900</v>
      </c>
      <c r="M127">
        <v>0</v>
      </c>
      <c r="N127">
        <v>0</v>
      </c>
      <c r="O127">
        <v>0</v>
      </c>
      <c r="P127">
        <v>0</v>
      </c>
      <c r="Q127">
        <v>115715</v>
      </c>
      <c r="R127">
        <v>0</v>
      </c>
      <c r="S127">
        <v>0</v>
      </c>
      <c r="T127">
        <v>0</v>
      </c>
      <c r="U127">
        <v>0</v>
      </c>
      <c r="V127">
        <v>0</v>
      </c>
      <c r="W127">
        <v>0</v>
      </c>
      <c r="X127">
        <v>0</v>
      </c>
      <c r="Y127">
        <v>137268</v>
      </c>
      <c r="Z127">
        <v>0</v>
      </c>
      <c r="AA127">
        <v>0</v>
      </c>
      <c r="AB127">
        <v>0</v>
      </c>
      <c r="AC127">
        <v>0</v>
      </c>
      <c r="AD127">
        <v>0</v>
      </c>
      <c r="AE127">
        <v>0</v>
      </c>
      <c r="AF127">
        <v>7975484</v>
      </c>
      <c r="AG127">
        <v>0</v>
      </c>
      <c r="AH127">
        <v>0</v>
      </c>
      <c r="AI127">
        <v>0</v>
      </c>
      <c r="AJ127">
        <v>0</v>
      </c>
      <c r="AK127">
        <v>0</v>
      </c>
      <c r="AL127">
        <v>0</v>
      </c>
      <c r="AM127">
        <v>0</v>
      </c>
      <c r="AN127">
        <v>0</v>
      </c>
      <c r="AO127">
        <v>0</v>
      </c>
      <c r="AP127">
        <v>79970</v>
      </c>
      <c r="AQ127">
        <v>0</v>
      </c>
      <c r="AR127">
        <v>0</v>
      </c>
      <c r="AS127">
        <v>0</v>
      </c>
      <c r="AT127">
        <v>0</v>
      </c>
      <c r="AU127">
        <v>0</v>
      </c>
      <c r="AV127">
        <v>15679138</v>
      </c>
      <c r="AW127">
        <v>0</v>
      </c>
      <c r="AX127">
        <v>0</v>
      </c>
      <c r="AY127">
        <v>0</v>
      </c>
      <c r="AZ127">
        <v>0</v>
      </c>
      <c r="BA127">
        <v>0</v>
      </c>
      <c r="BB127">
        <v>0</v>
      </c>
      <c r="BC127">
        <v>0</v>
      </c>
      <c r="BD127">
        <v>0</v>
      </c>
      <c r="BE127">
        <v>0</v>
      </c>
      <c r="BF127">
        <v>0</v>
      </c>
      <c r="BG127">
        <v>0</v>
      </c>
      <c r="BH127">
        <v>0</v>
      </c>
      <c r="BI127">
        <v>0</v>
      </c>
      <c r="BJ127">
        <v>0</v>
      </c>
      <c r="BK127">
        <v>0</v>
      </c>
      <c r="BL127">
        <v>0</v>
      </c>
      <c r="BM127">
        <v>0</v>
      </c>
      <c r="BN127">
        <v>145139</v>
      </c>
      <c r="BO127">
        <v>0</v>
      </c>
      <c r="BP127">
        <v>10375101</v>
      </c>
      <c r="BQ127">
        <v>0</v>
      </c>
      <c r="BR127">
        <v>0</v>
      </c>
      <c r="BS127">
        <v>0</v>
      </c>
      <c r="BT127">
        <v>0</v>
      </c>
      <c r="BU127">
        <v>0</v>
      </c>
      <c r="BV127">
        <v>0</v>
      </c>
      <c r="BW127">
        <v>0</v>
      </c>
      <c r="BX127">
        <v>0</v>
      </c>
      <c r="BY127">
        <v>0</v>
      </c>
      <c r="BZ127">
        <v>0</v>
      </c>
      <c r="CA127">
        <v>0</v>
      </c>
      <c r="CB127">
        <v>0</v>
      </c>
      <c r="CC127">
        <v>0</v>
      </c>
      <c r="CD127">
        <v>413771</v>
      </c>
    </row>
    <row r="128" spans="1:82" x14ac:dyDescent="0.3">
      <c r="A128" s="155">
        <v>528</v>
      </c>
      <c r="B128" t="s">
        <v>257</v>
      </c>
      <c r="D128">
        <v>250794</v>
      </c>
      <c r="E128">
        <v>760884</v>
      </c>
      <c r="F128">
        <v>113504</v>
      </c>
      <c r="G128">
        <v>306308</v>
      </c>
      <c r="H128">
        <v>275141</v>
      </c>
      <c r="I128">
        <v>37276</v>
      </c>
      <c r="J128">
        <v>21435</v>
      </c>
      <c r="K128">
        <v>22684</v>
      </c>
      <c r="L128">
        <v>1589035</v>
      </c>
      <c r="M128">
        <v>64056437</v>
      </c>
      <c r="N128">
        <v>1272682</v>
      </c>
      <c r="O128">
        <v>4552020</v>
      </c>
      <c r="P128">
        <v>612</v>
      </c>
      <c r="Q128">
        <v>4623121</v>
      </c>
      <c r="R128">
        <v>51229</v>
      </c>
      <c r="S128">
        <v>144786</v>
      </c>
      <c r="T128">
        <v>1053243</v>
      </c>
      <c r="U128">
        <v>683484</v>
      </c>
      <c r="V128">
        <v>2210521</v>
      </c>
      <c r="W128">
        <v>1149483</v>
      </c>
      <c r="X128">
        <v>187340</v>
      </c>
      <c r="Y128">
        <v>330847</v>
      </c>
      <c r="Z128">
        <v>18621624</v>
      </c>
      <c r="AA128">
        <v>0</v>
      </c>
      <c r="AB128">
        <v>177700</v>
      </c>
      <c r="AC128">
        <v>24000041</v>
      </c>
      <c r="AD128">
        <v>553793</v>
      </c>
      <c r="AE128">
        <v>228355</v>
      </c>
      <c r="AF128">
        <v>33455522</v>
      </c>
      <c r="AG128">
        <v>58161</v>
      </c>
      <c r="AH128">
        <v>103667</v>
      </c>
      <c r="AI128">
        <v>3291211</v>
      </c>
      <c r="AJ128">
        <v>280238</v>
      </c>
      <c r="AK128">
        <v>33776</v>
      </c>
      <c r="AL128">
        <v>15793424</v>
      </c>
      <c r="AM128">
        <v>69650</v>
      </c>
      <c r="AN128">
        <v>5392895</v>
      </c>
      <c r="AO128">
        <v>0</v>
      </c>
      <c r="AP128">
        <v>2078540</v>
      </c>
      <c r="AQ128">
        <v>1011251</v>
      </c>
      <c r="AR128">
        <v>31527</v>
      </c>
      <c r="AS128">
        <v>374378</v>
      </c>
      <c r="AT128">
        <v>54841</v>
      </c>
      <c r="AU128">
        <v>180130183</v>
      </c>
      <c r="AV128">
        <v>33839109</v>
      </c>
      <c r="AW128">
        <v>644594</v>
      </c>
      <c r="AX128">
        <v>122781</v>
      </c>
      <c r="AY128">
        <v>182355</v>
      </c>
      <c r="AZ128">
        <v>87918</v>
      </c>
      <c r="BA128">
        <v>60647</v>
      </c>
      <c r="BB128">
        <v>2068821</v>
      </c>
      <c r="BC128">
        <v>37023</v>
      </c>
      <c r="BD128">
        <v>25491</v>
      </c>
      <c r="BE128">
        <v>18922</v>
      </c>
      <c r="BF128">
        <v>9448684</v>
      </c>
      <c r="BG128">
        <v>5801</v>
      </c>
      <c r="BH128">
        <v>4702193</v>
      </c>
      <c r="BI128">
        <v>829232</v>
      </c>
      <c r="BJ128">
        <v>109191</v>
      </c>
      <c r="BK128">
        <v>0</v>
      </c>
      <c r="BL128">
        <v>5763349</v>
      </c>
      <c r="BM128">
        <v>10679835</v>
      </c>
      <c r="BN128">
        <v>652164</v>
      </c>
      <c r="BO128">
        <v>30953264</v>
      </c>
      <c r="BP128">
        <v>61448658</v>
      </c>
      <c r="BQ128">
        <v>133669</v>
      </c>
      <c r="BR128">
        <v>2957813</v>
      </c>
      <c r="BS128">
        <v>250256</v>
      </c>
      <c r="BT128">
        <v>8273159</v>
      </c>
      <c r="BU128">
        <v>55511</v>
      </c>
      <c r="BV128">
        <v>33774</v>
      </c>
      <c r="BW128">
        <v>2705633</v>
      </c>
      <c r="BX128">
        <v>1633283</v>
      </c>
      <c r="BY128">
        <v>26745303</v>
      </c>
      <c r="BZ128">
        <v>64292</v>
      </c>
      <c r="CA128">
        <v>5079797</v>
      </c>
      <c r="CB128">
        <v>309451</v>
      </c>
      <c r="CC128">
        <v>1285556</v>
      </c>
      <c r="CD128">
        <v>23016701</v>
      </c>
    </row>
    <row r="129" spans="1:82" x14ac:dyDescent="0.3">
      <c r="A129" s="155">
        <v>529</v>
      </c>
      <c r="B129" t="s">
        <v>258</v>
      </c>
      <c r="D129">
        <v>25230</v>
      </c>
      <c r="E129">
        <v>121033</v>
      </c>
      <c r="F129">
        <v>11811</v>
      </c>
      <c r="G129">
        <v>28650</v>
      </c>
      <c r="H129">
        <v>32560</v>
      </c>
      <c r="I129">
        <v>5930</v>
      </c>
      <c r="J129">
        <v>2332</v>
      </c>
      <c r="K129">
        <v>3022</v>
      </c>
      <c r="L129">
        <v>223449</v>
      </c>
      <c r="M129">
        <v>8146917</v>
      </c>
      <c r="N129">
        <v>76221</v>
      </c>
      <c r="O129">
        <v>336438</v>
      </c>
      <c r="P129">
        <v>926</v>
      </c>
      <c r="Q129">
        <v>154506</v>
      </c>
      <c r="R129">
        <v>4671</v>
      </c>
      <c r="S129">
        <v>17182</v>
      </c>
      <c r="T129">
        <v>95504</v>
      </c>
      <c r="U129">
        <v>89005</v>
      </c>
      <c r="V129">
        <v>149961</v>
      </c>
      <c r="W129">
        <v>99955</v>
      </c>
      <c r="X129">
        <v>33602</v>
      </c>
      <c r="Y129">
        <v>51843</v>
      </c>
      <c r="Z129">
        <v>2541985</v>
      </c>
      <c r="AA129">
        <v>0</v>
      </c>
      <c r="AB129">
        <v>32122</v>
      </c>
      <c r="AC129">
        <v>2662810</v>
      </c>
      <c r="AD129">
        <v>34417</v>
      </c>
      <c r="AE129">
        <v>41118</v>
      </c>
      <c r="AF129">
        <v>2859060</v>
      </c>
      <c r="AG129">
        <v>8497</v>
      </c>
      <c r="AH129">
        <v>19957</v>
      </c>
      <c r="AI129">
        <v>477584</v>
      </c>
      <c r="AJ129">
        <v>46105</v>
      </c>
      <c r="AK129">
        <v>4002</v>
      </c>
      <c r="AL129">
        <v>1811329</v>
      </c>
      <c r="AM129">
        <v>4752</v>
      </c>
      <c r="AN129">
        <v>723922</v>
      </c>
      <c r="AO129">
        <v>0</v>
      </c>
      <c r="AP129">
        <v>210158</v>
      </c>
      <c r="AQ129">
        <v>139085</v>
      </c>
      <c r="AR129">
        <v>3284</v>
      </c>
      <c r="AS129">
        <v>80793</v>
      </c>
      <c r="AT129">
        <v>13609</v>
      </c>
      <c r="AU129">
        <v>23854850</v>
      </c>
      <c r="AV129">
        <v>5779995</v>
      </c>
      <c r="AW129">
        <v>116573</v>
      </c>
      <c r="AX129">
        <v>20938</v>
      </c>
      <c r="AY129">
        <v>27674</v>
      </c>
      <c r="AZ129">
        <v>12929</v>
      </c>
      <c r="BA129">
        <v>13930</v>
      </c>
      <c r="BB129">
        <v>377698</v>
      </c>
      <c r="BC129">
        <v>5975</v>
      </c>
      <c r="BD129">
        <v>3957</v>
      </c>
      <c r="BE129">
        <v>3139</v>
      </c>
      <c r="BF129">
        <v>923183</v>
      </c>
      <c r="BG129">
        <v>714</v>
      </c>
      <c r="BH129">
        <v>712230</v>
      </c>
      <c r="BI129">
        <v>144243</v>
      </c>
      <c r="BJ129">
        <v>5470</v>
      </c>
      <c r="BK129">
        <v>0</v>
      </c>
      <c r="BL129">
        <v>702622</v>
      </c>
      <c r="BM129">
        <v>886918</v>
      </c>
      <c r="BN129">
        <v>74655</v>
      </c>
      <c r="BO129">
        <v>3077153</v>
      </c>
      <c r="BP129">
        <v>8299556</v>
      </c>
      <c r="BQ129">
        <v>17841</v>
      </c>
      <c r="BR129">
        <v>25777</v>
      </c>
      <c r="BS129">
        <v>25256</v>
      </c>
      <c r="BT129">
        <v>730259</v>
      </c>
      <c r="BU129">
        <v>13804</v>
      </c>
      <c r="BV129">
        <v>8103</v>
      </c>
      <c r="BW129">
        <v>40525</v>
      </c>
      <c r="BX129">
        <v>180792</v>
      </c>
      <c r="BY129">
        <v>2322236</v>
      </c>
      <c r="BZ129">
        <v>13490</v>
      </c>
      <c r="CA129">
        <v>723782</v>
      </c>
      <c r="CB129">
        <v>48207</v>
      </c>
      <c r="CC129">
        <v>164993</v>
      </c>
      <c r="CD129">
        <v>1922209</v>
      </c>
    </row>
    <row r="130" spans="1:82" x14ac:dyDescent="0.3">
      <c r="A130" s="155">
        <v>530</v>
      </c>
      <c r="B130" t="s">
        <v>259</v>
      </c>
      <c r="D130">
        <v>12496</v>
      </c>
      <c r="E130">
        <v>65532</v>
      </c>
      <c r="F130">
        <v>307</v>
      </c>
      <c r="G130">
        <v>2052</v>
      </c>
      <c r="H130">
        <v>4315</v>
      </c>
      <c r="I130">
        <v>0</v>
      </c>
      <c r="J130">
        <v>360</v>
      </c>
      <c r="K130">
        <v>644</v>
      </c>
      <c r="L130">
        <v>17611</v>
      </c>
      <c r="M130">
        <v>373460</v>
      </c>
      <c r="N130">
        <v>120</v>
      </c>
      <c r="O130">
        <v>10755</v>
      </c>
      <c r="P130">
        <v>282</v>
      </c>
      <c r="Q130">
        <v>25379</v>
      </c>
      <c r="R130">
        <v>156</v>
      </c>
      <c r="S130">
        <v>3071</v>
      </c>
      <c r="T130">
        <v>842</v>
      </c>
      <c r="U130">
        <v>4388</v>
      </c>
      <c r="V130">
        <v>61013</v>
      </c>
      <c r="W130">
        <v>13886</v>
      </c>
      <c r="X130">
        <v>2227</v>
      </c>
      <c r="Y130">
        <v>15247</v>
      </c>
      <c r="Z130">
        <v>38629</v>
      </c>
      <c r="AA130">
        <v>0</v>
      </c>
      <c r="AB130">
        <v>10499</v>
      </c>
      <c r="AC130">
        <v>73354</v>
      </c>
      <c r="AD130">
        <v>14630</v>
      </c>
      <c r="AE130">
        <v>21448</v>
      </c>
      <c r="AF130">
        <v>273718</v>
      </c>
      <c r="AG130">
        <v>840</v>
      </c>
      <c r="AH130">
        <v>7280</v>
      </c>
      <c r="AI130">
        <v>26768</v>
      </c>
      <c r="AJ130">
        <v>1895</v>
      </c>
      <c r="AK130">
        <v>340</v>
      </c>
      <c r="AL130">
        <v>213457</v>
      </c>
      <c r="AM130">
        <v>805</v>
      </c>
      <c r="AN130">
        <v>85014</v>
      </c>
      <c r="AO130">
        <v>0</v>
      </c>
      <c r="AP130">
        <v>27312</v>
      </c>
      <c r="AQ130">
        <v>12921</v>
      </c>
      <c r="AR130">
        <v>1186</v>
      </c>
      <c r="AS130">
        <v>13527</v>
      </c>
      <c r="AT130">
        <v>4441</v>
      </c>
      <c r="AU130">
        <v>1134648</v>
      </c>
      <c r="AV130">
        <v>96411</v>
      </c>
      <c r="AW130">
        <v>21409</v>
      </c>
      <c r="AX130">
        <v>1618</v>
      </c>
      <c r="AY130">
        <v>8292</v>
      </c>
      <c r="AZ130">
        <v>345</v>
      </c>
      <c r="BA130">
        <v>6852</v>
      </c>
      <c r="BB130">
        <v>113777</v>
      </c>
      <c r="BC130">
        <v>780</v>
      </c>
      <c r="BD130">
        <v>745</v>
      </c>
      <c r="BE130">
        <v>179</v>
      </c>
      <c r="BF130">
        <v>34252</v>
      </c>
      <c r="BG130">
        <v>724</v>
      </c>
      <c r="BH130">
        <v>44484</v>
      </c>
      <c r="BI130">
        <v>12218</v>
      </c>
      <c r="BJ130">
        <v>1475</v>
      </c>
      <c r="BK130">
        <v>0</v>
      </c>
      <c r="BL130">
        <v>161254</v>
      </c>
      <c r="BM130">
        <v>101553</v>
      </c>
      <c r="BN130">
        <v>33023</v>
      </c>
      <c r="BO130">
        <v>290371</v>
      </c>
      <c r="BP130">
        <v>486800</v>
      </c>
      <c r="BQ130">
        <v>5849</v>
      </c>
      <c r="BR130">
        <v>9050</v>
      </c>
      <c r="BS130">
        <v>1135</v>
      </c>
      <c r="BT130">
        <v>69076</v>
      </c>
      <c r="BU130">
        <v>3869</v>
      </c>
      <c r="BV130">
        <v>4967</v>
      </c>
      <c r="BW130">
        <v>13739</v>
      </c>
      <c r="BX130">
        <v>12710</v>
      </c>
      <c r="BY130">
        <v>43181</v>
      </c>
      <c r="BZ130">
        <v>309</v>
      </c>
      <c r="CA130">
        <v>17482</v>
      </c>
      <c r="CB130">
        <v>7285</v>
      </c>
      <c r="CC130">
        <v>38028</v>
      </c>
      <c r="CD130">
        <v>80884</v>
      </c>
    </row>
    <row r="131" spans="1:82" x14ac:dyDescent="0.3">
      <c r="A131" s="155">
        <v>531</v>
      </c>
      <c r="B131" t="s">
        <v>260</v>
      </c>
      <c r="D131">
        <v>0</v>
      </c>
      <c r="E131">
        <v>0</v>
      </c>
      <c r="F131">
        <v>0</v>
      </c>
      <c r="G131">
        <v>0</v>
      </c>
      <c r="H131">
        <v>0</v>
      </c>
      <c r="I131">
        <v>0</v>
      </c>
      <c r="J131">
        <v>0</v>
      </c>
      <c r="K131">
        <v>13</v>
      </c>
      <c r="L131">
        <v>0</v>
      </c>
      <c r="M131">
        <v>0</v>
      </c>
      <c r="N131">
        <v>0</v>
      </c>
      <c r="O131">
        <v>830</v>
      </c>
      <c r="P131">
        <v>0</v>
      </c>
      <c r="Q131">
        <v>0</v>
      </c>
      <c r="R131">
        <v>0</v>
      </c>
      <c r="S131">
        <v>0</v>
      </c>
      <c r="T131">
        <v>0</v>
      </c>
      <c r="U131">
        <v>0</v>
      </c>
      <c r="V131">
        <v>0</v>
      </c>
      <c r="W131">
        <v>0</v>
      </c>
      <c r="X131">
        <v>0</v>
      </c>
      <c r="Y131">
        <v>0</v>
      </c>
      <c r="Z131">
        <v>0</v>
      </c>
      <c r="AA131">
        <v>0</v>
      </c>
      <c r="AB131">
        <v>293</v>
      </c>
      <c r="AC131">
        <v>0</v>
      </c>
      <c r="AD131">
        <v>0</v>
      </c>
      <c r="AE131">
        <v>0</v>
      </c>
      <c r="AF131">
        <v>14428</v>
      </c>
      <c r="AG131">
        <v>0</v>
      </c>
      <c r="AH131">
        <v>0</v>
      </c>
      <c r="AI131">
        <v>0</v>
      </c>
      <c r="AJ131">
        <v>0</v>
      </c>
      <c r="AK131">
        <v>0</v>
      </c>
      <c r="AL131">
        <v>0</v>
      </c>
      <c r="AM131">
        <v>524</v>
      </c>
      <c r="AN131">
        <v>7754</v>
      </c>
      <c r="AO131">
        <v>0</v>
      </c>
      <c r="AP131">
        <v>0</v>
      </c>
      <c r="AQ131">
        <v>0</v>
      </c>
      <c r="AR131">
        <v>0</v>
      </c>
      <c r="AS131">
        <v>0</v>
      </c>
      <c r="AT131">
        <v>0</v>
      </c>
      <c r="AU131">
        <v>108946</v>
      </c>
      <c r="AV131">
        <v>0</v>
      </c>
      <c r="AW131">
        <v>0</v>
      </c>
      <c r="AX131">
        <v>0</v>
      </c>
      <c r="AY131">
        <v>96</v>
      </c>
      <c r="AZ131">
        <v>0</v>
      </c>
      <c r="BA131">
        <v>0</v>
      </c>
      <c r="BB131">
        <v>0</v>
      </c>
      <c r="BC131">
        <v>0</v>
      </c>
      <c r="BD131">
        <v>8</v>
      </c>
      <c r="BE131">
        <v>0</v>
      </c>
      <c r="BF131">
        <v>0</v>
      </c>
      <c r="BG131">
        <v>110</v>
      </c>
      <c r="BH131">
        <v>0</v>
      </c>
      <c r="BI131">
        <v>0</v>
      </c>
      <c r="BJ131">
        <v>0</v>
      </c>
      <c r="BK131">
        <v>0</v>
      </c>
      <c r="BL131">
        <v>0</v>
      </c>
      <c r="BM131">
        <v>3713</v>
      </c>
      <c r="BN131">
        <v>0</v>
      </c>
      <c r="BO131">
        <v>0</v>
      </c>
      <c r="BP131">
        <v>5208</v>
      </c>
      <c r="BQ131">
        <v>0</v>
      </c>
      <c r="BR131">
        <v>0</v>
      </c>
      <c r="BS131">
        <v>0</v>
      </c>
      <c r="BT131">
        <v>0</v>
      </c>
      <c r="BU131">
        <v>290</v>
      </c>
      <c r="BV131">
        <v>0</v>
      </c>
      <c r="BW131">
        <v>0</v>
      </c>
      <c r="BX131">
        <v>0</v>
      </c>
      <c r="BY131">
        <v>16266</v>
      </c>
      <c r="BZ131">
        <v>12</v>
      </c>
      <c r="CA131">
        <v>0</v>
      </c>
      <c r="CB131">
        <v>0</v>
      </c>
      <c r="CC131">
        <v>12435</v>
      </c>
      <c r="CD131">
        <v>0</v>
      </c>
    </row>
    <row r="132" spans="1:82" x14ac:dyDescent="0.3">
      <c r="A132" s="155">
        <v>532</v>
      </c>
      <c r="B132" t="s">
        <v>887</v>
      </c>
      <c r="D132">
        <v>1487142</v>
      </c>
      <c r="E132">
        <v>2390770</v>
      </c>
      <c r="F132">
        <v>433161</v>
      </c>
      <c r="G132">
        <v>965638</v>
      </c>
      <c r="H132">
        <v>649283</v>
      </c>
      <c r="I132">
        <v>193292</v>
      </c>
      <c r="J132">
        <v>49995</v>
      </c>
      <c r="K132">
        <v>167526</v>
      </c>
      <c r="L132">
        <v>6206910</v>
      </c>
      <c r="M132">
        <v>167002031</v>
      </c>
      <c r="N132">
        <v>1939857</v>
      </c>
      <c r="O132">
        <v>7780298</v>
      </c>
      <c r="P132">
        <v>144006</v>
      </c>
      <c r="Q132">
        <v>15111947</v>
      </c>
      <c r="R132">
        <v>79235</v>
      </c>
      <c r="S132">
        <v>310568</v>
      </c>
      <c r="T132">
        <v>2107155</v>
      </c>
      <c r="U132">
        <v>1218829</v>
      </c>
      <c r="V132">
        <v>4815418</v>
      </c>
      <c r="W132">
        <v>3003070</v>
      </c>
      <c r="X132">
        <v>763764</v>
      </c>
      <c r="Y132">
        <v>946049</v>
      </c>
      <c r="Z132">
        <v>35813099</v>
      </c>
      <c r="AA132">
        <v>734843</v>
      </c>
      <c r="AB132">
        <v>570814</v>
      </c>
      <c r="AC132">
        <v>44486174</v>
      </c>
      <c r="AD132">
        <v>1065199</v>
      </c>
      <c r="AE132">
        <v>638643</v>
      </c>
      <c r="AF132">
        <v>72560382</v>
      </c>
      <c r="AG132">
        <v>142752</v>
      </c>
      <c r="AH132">
        <v>253156</v>
      </c>
      <c r="AI132">
        <v>8909221</v>
      </c>
      <c r="AJ132">
        <v>896236</v>
      </c>
      <c r="AK132">
        <v>80455</v>
      </c>
      <c r="AL132">
        <v>34149133</v>
      </c>
      <c r="AM132">
        <v>133806</v>
      </c>
      <c r="AN132">
        <v>14541665</v>
      </c>
      <c r="AO132">
        <v>48092</v>
      </c>
      <c r="AP132">
        <v>4106489</v>
      </c>
      <c r="AQ132">
        <v>2752124</v>
      </c>
      <c r="AR132">
        <v>46594</v>
      </c>
      <c r="AS132">
        <v>1535547</v>
      </c>
      <c r="AT132">
        <v>167446</v>
      </c>
      <c r="AU132">
        <v>285786899</v>
      </c>
      <c r="AV132">
        <v>77529313</v>
      </c>
      <c r="AW132">
        <v>1791458</v>
      </c>
      <c r="AX132">
        <v>457162</v>
      </c>
      <c r="AY132">
        <v>329794</v>
      </c>
      <c r="AZ132">
        <v>316989</v>
      </c>
      <c r="BA132">
        <v>440666</v>
      </c>
      <c r="BB132">
        <v>5481365</v>
      </c>
      <c r="BC132">
        <v>223906</v>
      </c>
      <c r="BD132">
        <v>111944</v>
      </c>
      <c r="BE132">
        <v>49574</v>
      </c>
      <c r="BF132">
        <v>17088867</v>
      </c>
      <c r="BG132">
        <v>27990</v>
      </c>
      <c r="BH132">
        <v>13085639</v>
      </c>
      <c r="BI132">
        <v>2437915</v>
      </c>
      <c r="BJ132">
        <v>224184</v>
      </c>
      <c r="BK132">
        <v>102309</v>
      </c>
      <c r="BL132">
        <v>17381220</v>
      </c>
      <c r="BM132">
        <v>19281024</v>
      </c>
      <c r="BN132">
        <v>1587775</v>
      </c>
      <c r="BO132">
        <v>61708390</v>
      </c>
      <c r="BP132">
        <v>106229610</v>
      </c>
      <c r="BQ132">
        <v>400047</v>
      </c>
      <c r="BR132">
        <v>5624832</v>
      </c>
      <c r="BS132">
        <v>1033036</v>
      </c>
      <c r="BT132">
        <v>11088843</v>
      </c>
      <c r="BU132">
        <v>186347</v>
      </c>
      <c r="BV132">
        <v>281526</v>
      </c>
      <c r="BW132">
        <v>3111397</v>
      </c>
      <c r="BX132">
        <v>4709280</v>
      </c>
      <c r="BY132">
        <v>40412857</v>
      </c>
      <c r="BZ132">
        <v>560600</v>
      </c>
      <c r="CA132">
        <v>14733529</v>
      </c>
      <c r="CB132">
        <v>497430</v>
      </c>
      <c r="CC132">
        <v>3547628</v>
      </c>
      <c r="CD132">
        <v>55192261</v>
      </c>
    </row>
    <row r="133" spans="1:82" x14ac:dyDescent="0.3">
      <c r="A133" s="155">
        <v>533</v>
      </c>
      <c r="B133" t="s">
        <v>888</v>
      </c>
      <c r="D133">
        <v>0</v>
      </c>
      <c r="E133">
        <v>0</v>
      </c>
      <c r="F133">
        <v>0</v>
      </c>
      <c r="G133">
        <v>0</v>
      </c>
      <c r="H133">
        <v>0</v>
      </c>
      <c r="I133">
        <v>0</v>
      </c>
      <c r="J133">
        <v>0</v>
      </c>
      <c r="K133">
        <v>0</v>
      </c>
      <c r="L133">
        <v>490891</v>
      </c>
      <c r="M133">
        <v>3136876</v>
      </c>
      <c r="N133">
        <v>0</v>
      </c>
      <c r="O133">
        <v>338515</v>
      </c>
      <c r="P133">
        <v>0</v>
      </c>
      <c r="Q133">
        <v>30253</v>
      </c>
      <c r="R133">
        <v>0</v>
      </c>
      <c r="S133">
        <v>0</v>
      </c>
      <c r="T133">
        <v>0</v>
      </c>
      <c r="U133">
        <v>0</v>
      </c>
      <c r="V133">
        <v>64140</v>
      </c>
      <c r="W133">
        <v>0</v>
      </c>
      <c r="X133">
        <v>98246</v>
      </c>
      <c r="Y133">
        <v>0</v>
      </c>
      <c r="Z133">
        <v>1279000</v>
      </c>
      <c r="AA133">
        <v>0</v>
      </c>
      <c r="AB133">
        <v>0</v>
      </c>
      <c r="AC133">
        <v>1271928</v>
      </c>
      <c r="AD133">
        <v>0</v>
      </c>
      <c r="AE133">
        <v>0</v>
      </c>
      <c r="AF133">
        <v>445451</v>
      </c>
      <c r="AG133">
        <v>0</v>
      </c>
      <c r="AH133">
        <v>0</v>
      </c>
      <c r="AI133">
        <v>575662</v>
      </c>
      <c r="AJ133">
        <v>0</v>
      </c>
      <c r="AK133">
        <v>0</v>
      </c>
      <c r="AL133">
        <v>3317701</v>
      </c>
      <c r="AM133">
        <v>0</v>
      </c>
      <c r="AN133">
        <v>0</v>
      </c>
      <c r="AO133">
        <v>0</v>
      </c>
      <c r="AP133">
        <v>8441</v>
      </c>
      <c r="AQ133">
        <v>0</v>
      </c>
      <c r="AR133">
        <v>0</v>
      </c>
      <c r="AS133">
        <v>0</v>
      </c>
      <c r="AT133">
        <v>0</v>
      </c>
      <c r="AU133">
        <v>0</v>
      </c>
      <c r="AV133">
        <v>0</v>
      </c>
      <c r="AW133">
        <v>0</v>
      </c>
      <c r="AX133">
        <v>14755</v>
      </c>
      <c r="AY133">
        <v>0</v>
      </c>
      <c r="AZ133">
        <v>0</v>
      </c>
      <c r="BA133">
        <v>0</v>
      </c>
      <c r="BB133">
        <v>0</v>
      </c>
      <c r="BC133">
        <v>0</v>
      </c>
      <c r="BD133">
        <v>0</v>
      </c>
      <c r="BE133">
        <v>0</v>
      </c>
      <c r="BF133">
        <v>72973</v>
      </c>
      <c r="BG133">
        <v>0</v>
      </c>
      <c r="BH133">
        <v>55466</v>
      </c>
      <c r="BI133">
        <v>87913</v>
      </c>
      <c r="BJ133">
        <v>11807</v>
      </c>
      <c r="BK133">
        <v>0</v>
      </c>
      <c r="BL133">
        <v>818892</v>
      </c>
      <c r="BM133">
        <v>609956</v>
      </c>
      <c r="BN133">
        <v>0</v>
      </c>
      <c r="BO133">
        <v>0</v>
      </c>
      <c r="BP133">
        <v>1139254</v>
      </c>
      <c r="BQ133">
        <v>0</v>
      </c>
      <c r="BR133">
        <v>0</v>
      </c>
      <c r="BS133">
        <v>0</v>
      </c>
      <c r="BT133">
        <v>0</v>
      </c>
      <c r="BU133">
        <v>0</v>
      </c>
      <c r="BV133">
        <v>0</v>
      </c>
      <c r="BW133">
        <v>32385</v>
      </c>
      <c r="BX133">
        <v>572749</v>
      </c>
      <c r="BY133">
        <v>2276250</v>
      </c>
      <c r="BZ133">
        <v>0</v>
      </c>
      <c r="CA133">
        <v>0</v>
      </c>
      <c r="CB133">
        <v>0</v>
      </c>
      <c r="CC133">
        <v>283178</v>
      </c>
      <c r="CD133">
        <v>120927</v>
      </c>
    </row>
    <row r="134" spans="1:82" x14ac:dyDescent="0.3">
      <c r="A134" s="155">
        <v>535</v>
      </c>
      <c r="B134" t="s">
        <v>244</v>
      </c>
      <c r="D134">
        <v>0</v>
      </c>
      <c r="E134">
        <v>1</v>
      </c>
      <c r="F134">
        <v>0</v>
      </c>
      <c r="G134">
        <v>0</v>
      </c>
      <c r="H134">
        <v>0</v>
      </c>
      <c r="I134">
        <v>0</v>
      </c>
      <c r="J134">
        <v>0</v>
      </c>
      <c r="K134">
        <v>0</v>
      </c>
      <c r="L134">
        <v>262124</v>
      </c>
      <c r="M134">
        <v>39924627</v>
      </c>
      <c r="N134">
        <v>0</v>
      </c>
      <c r="O134">
        <v>0</v>
      </c>
      <c r="P134">
        <v>0</v>
      </c>
      <c r="Q134">
        <v>0</v>
      </c>
      <c r="R134">
        <v>0</v>
      </c>
      <c r="S134">
        <v>0</v>
      </c>
      <c r="T134">
        <v>0</v>
      </c>
      <c r="U134">
        <v>0</v>
      </c>
      <c r="V134">
        <v>5981</v>
      </c>
      <c r="W134">
        <v>0</v>
      </c>
      <c r="X134">
        <v>0</v>
      </c>
      <c r="Y134">
        <v>0</v>
      </c>
      <c r="Z134">
        <v>4329048</v>
      </c>
      <c r="AA134">
        <v>0</v>
      </c>
      <c r="AB134">
        <v>0</v>
      </c>
      <c r="AC134">
        <v>2036985</v>
      </c>
      <c r="AD134">
        <v>0</v>
      </c>
      <c r="AE134">
        <v>0</v>
      </c>
      <c r="AF134">
        <v>14900289</v>
      </c>
      <c r="AG134">
        <v>0</v>
      </c>
      <c r="AH134">
        <v>0</v>
      </c>
      <c r="AI134">
        <v>0</v>
      </c>
      <c r="AJ134">
        <v>0</v>
      </c>
      <c r="AK134">
        <v>0</v>
      </c>
      <c r="AL134">
        <v>2389809</v>
      </c>
      <c r="AM134">
        <v>0</v>
      </c>
      <c r="AN134">
        <v>0</v>
      </c>
      <c r="AO134">
        <v>0</v>
      </c>
      <c r="AP134">
        <v>0</v>
      </c>
      <c r="AQ134">
        <v>0</v>
      </c>
      <c r="AR134">
        <v>0</v>
      </c>
      <c r="AS134">
        <v>0</v>
      </c>
      <c r="AT134">
        <v>0</v>
      </c>
      <c r="AU134">
        <v>60371980</v>
      </c>
      <c r="AV134">
        <v>10269527</v>
      </c>
      <c r="AW134">
        <v>75179</v>
      </c>
      <c r="AX134">
        <v>0</v>
      </c>
      <c r="AY134">
        <v>73073</v>
      </c>
      <c r="AZ134">
        <v>0</v>
      </c>
      <c r="BA134">
        <v>0</v>
      </c>
      <c r="BB134">
        <v>0</v>
      </c>
      <c r="BC134">
        <v>0</v>
      </c>
      <c r="BD134">
        <v>0</v>
      </c>
      <c r="BE134">
        <v>0</v>
      </c>
      <c r="BF134">
        <v>865416</v>
      </c>
      <c r="BG134">
        <v>0</v>
      </c>
      <c r="BH134">
        <v>0</v>
      </c>
      <c r="BI134">
        <v>0</v>
      </c>
      <c r="BJ134">
        <v>0</v>
      </c>
      <c r="BK134">
        <v>0</v>
      </c>
      <c r="BL134">
        <v>0</v>
      </c>
      <c r="BM134">
        <v>13232311</v>
      </c>
      <c r="BN134">
        <v>0</v>
      </c>
      <c r="BO134">
        <v>22793859</v>
      </c>
      <c r="BP134">
        <v>17263594</v>
      </c>
      <c r="BQ134">
        <v>0</v>
      </c>
      <c r="BR134">
        <v>1673939</v>
      </c>
      <c r="BS134">
        <v>0</v>
      </c>
      <c r="BT134">
        <v>0</v>
      </c>
      <c r="BU134">
        <v>0</v>
      </c>
      <c r="BV134">
        <v>0</v>
      </c>
      <c r="BW134">
        <v>23962055</v>
      </c>
      <c r="BX134">
        <v>0</v>
      </c>
      <c r="BY134">
        <v>26334807</v>
      </c>
      <c r="BZ134">
        <v>0</v>
      </c>
      <c r="CA134">
        <v>3032372</v>
      </c>
      <c r="CB134">
        <v>0</v>
      </c>
      <c r="CC134">
        <v>0</v>
      </c>
      <c r="CD134">
        <v>12907966</v>
      </c>
    </row>
    <row r="135" spans="1:82" x14ac:dyDescent="0.3">
      <c r="A135" s="155">
        <v>536</v>
      </c>
      <c r="B135" t="s">
        <v>190</v>
      </c>
      <c r="D135">
        <v>3057299</v>
      </c>
      <c r="E135">
        <v>125726</v>
      </c>
      <c r="F135">
        <v>0</v>
      </c>
      <c r="G135">
        <v>1386</v>
      </c>
      <c r="H135">
        <v>122192</v>
      </c>
      <c r="I135">
        <v>42177</v>
      </c>
      <c r="J135">
        <v>17364</v>
      </c>
      <c r="K135">
        <v>113053</v>
      </c>
      <c r="L135">
        <v>1672191</v>
      </c>
      <c r="M135">
        <v>3673134</v>
      </c>
      <c r="N135">
        <v>0</v>
      </c>
      <c r="O135">
        <v>465449</v>
      </c>
      <c r="P135">
        <v>30241</v>
      </c>
      <c r="Q135">
        <v>1596282</v>
      </c>
      <c r="R135">
        <v>45065</v>
      </c>
      <c r="S135">
        <v>39173</v>
      </c>
      <c r="T135">
        <v>0</v>
      </c>
      <c r="U135">
        <v>0</v>
      </c>
      <c r="V135">
        <v>495357</v>
      </c>
      <c r="W135">
        <v>357100</v>
      </c>
      <c r="X135">
        <v>47555</v>
      </c>
      <c r="Y135">
        <v>52069</v>
      </c>
      <c r="Z135">
        <v>2063192</v>
      </c>
      <c r="AA135">
        <v>3099949</v>
      </c>
      <c r="AB135">
        <v>3374</v>
      </c>
      <c r="AC135">
        <v>67081</v>
      </c>
      <c r="AD135">
        <v>13148</v>
      </c>
      <c r="AE135">
        <v>0</v>
      </c>
      <c r="AF135">
        <v>3381175</v>
      </c>
      <c r="AG135">
        <v>90904</v>
      </c>
      <c r="AH135">
        <v>40743</v>
      </c>
      <c r="AI135">
        <v>425239</v>
      </c>
      <c r="AJ135">
        <v>70159</v>
      </c>
      <c r="AK135">
        <v>54160</v>
      </c>
      <c r="AL135">
        <v>2298940</v>
      </c>
      <c r="AM135">
        <v>50053</v>
      </c>
      <c r="AN135">
        <v>216628</v>
      </c>
      <c r="AO135">
        <v>0</v>
      </c>
      <c r="AP135">
        <v>336367</v>
      </c>
      <c r="AQ135">
        <v>254931</v>
      </c>
      <c r="AR135">
        <v>0</v>
      </c>
      <c r="AS135">
        <v>519329</v>
      </c>
      <c r="AT135">
        <v>32239</v>
      </c>
      <c r="AU135">
        <v>1796593</v>
      </c>
      <c r="AV135">
        <v>571234</v>
      </c>
      <c r="AW135">
        <v>3290</v>
      </c>
      <c r="AX135">
        <v>36590</v>
      </c>
      <c r="AY135">
        <v>130126</v>
      </c>
      <c r="AZ135">
        <v>42750</v>
      </c>
      <c r="BA135">
        <v>103197</v>
      </c>
      <c r="BB135">
        <v>857164</v>
      </c>
      <c r="BC135">
        <v>0</v>
      </c>
      <c r="BD135">
        <v>5915</v>
      </c>
      <c r="BE135">
        <v>13600</v>
      </c>
      <c r="BF135">
        <v>279900</v>
      </c>
      <c r="BG135">
        <v>49236</v>
      </c>
      <c r="BH135">
        <v>1461143</v>
      </c>
      <c r="BI135">
        <v>320537</v>
      </c>
      <c r="BJ135">
        <v>6392</v>
      </c>
      <c r="BK135">
        <v>25301</v>
      </c>
      <c r="BL135">
        <v>1329638</v>
      </c>
      <c r="BM135">
        <v>62225</v>
      </c>
      <c r="BN135">
        <v>215019</v>
      </c>
      <c r="BO135">
        <v>100965</v>
      </c>
      <c r="BP135">
        <v>2015032</v>
      </c>
      <c r="BQ135">
        <v>40399</v>
      </c>
      <c r="BR135">
        <v>134160</v>
      </c>
      <c r="BS135">
        <v>394614</v>
      </c>
      <c r="BT135">
        <v>727833</v>
      </c>
      <c r="BU135">
        <v>58044</v>
      </c>
      <c r="BV135">
        <v>223912</v>
      </c>
      <c r="BW135">
        <v>0</v>
      </c>
      <c r="BX135">
        <v>123266</v>
      </c>
      <c r="BY135">
        <v>11265436</v>
      </c>
      <c r="BZ135">
        <v>41978</v>
      </c>
      <c r="CA135">
        <v>286364</v>
      </c>
      <c r="CB135">
        <v>65700</v>
      </c>
      <c r="CC135">
        <v>210210</v>
      </c>
      <c r="CD135">
        <v>11370663</v>
      </c>
    </row>
    <row r="136" spans="1:82" x14ac:dyDescent="0.3">
      <c r="A136" s="155">
        <v>537</v>
      </c>
      <c r="B136" t="s">
        <v>280</v>
      </c>
      <c r="D136">
        <v>1</v>
      </c>
      <c r="E136">
        <v>1</v>
      </c>
      <c r="F136">
        <v>0</v>
      </c>
      <c r="G136">
        <v>2</v>
      </c>
      <c r="H136">
        <v>2</v>
      </c>
      <c r="I136">
        <v>2</v>
      </c>
      <c r="J136">
        <v>0</v>
      </c>
      <c r="K136">
        <v>2</v>
      </c>
      <c r="L136">
        <v>1</v>
      </c>
      <c r="M136">
        <v>0</v>
      </c>
      <c r="N136">
        <v>0</v>
      </c>
      <c r="O136">
        <v>0</v>
      </c>
      <c r="P136">
        <v>2</v>
      </c>
      <c r="Q136">
        <v>2</v>
      </c>
      <c r="R136">
        <v>0</v>
      </c>
      <c r="S136">
        <v>1</v>
      </c>
      <c r="T136">
        <v>2</v>
      </c>
      <c r="U136">
        <v>2</v>
      </c>
      <c r="V136">
        <v>1</v>
      </c>
      <c r="W136">
        <v>0</v>
      </c>
      <c r="X136">
        <v>2</v>
      </c>
      <c r="Y136">
        <v>2</v>
      </c>
      <c r="Z136">
        <v>2</v>
      </c>
      <c r="AA136">
        <v>2</v>
      </c>
      <c r="AB136">
        <v>2</v>
      </c>
      <c r="AC136">
        <v>0</v>
      </c>
      <c r="AD136">
        <v>0</v>
      </c>
      <c r="AE136">
        <v>0</v>
      </c>
      <c r="AF136">
        <v>1</v>
      </c>
      <c r="AG136">
        <v>0</v>
      </c>
      <c r="AH136">
        <v>2</v>
      </c>
      <c r="AI136">
        <v>2</v>
      </c>
      <c r="AJ136">
        <v>1</v>
      </c>
      <c r="AK136">
        <v>0</v>
      </c>
      <c r="AL136">
        <v>2</v>
      </c>
      <c r="AM136">
        <v>2</v>
      </c>
      <c r="AN136">
        <v>1</v>
      </c>
      <c r="AO136">
        <v>2</v>
      </c>
      <c r="AP136">
        <v>1</v>
      </c>
      <c r="AQ136">
        <v>0</v>
      </c>
      <c r="AR136">
        <v>0</v>
      </c>
      <c r="AS136">
        <v>2</v>
      </c>
      <c r="AT136">
        <v>1</v>
      </c>
      <c r="AU136">
        <v>1</v>
      </c>
      <c r="AV136">
        <v>2</v>
      </c>
      <c r="AW136">
        <v>2</v>
      </c>
      <c r="AX136">
        <v>1</v>
      </c>
      <c r="AY136">
        <v>2</v>
      </c>
      <c r="AZ136">
        <v>1</v>
      </c>
      <c r="BA136">
        <v>2</v>
      </c>
      <c r="BB136">
        <v>2</v>
      </c>
      <c r="BC136">
        <v>2</v>
      </c>
      <c r="BD136">
        <v>0</v>
      </c>
      <c r="BE136">
        <v>2</v>
      </c>
      <c r="BF136">
        <v>1</v>
      </c>
      <c r="BG136">
        <v>0</v>
      </c>
      <c r="BH136">
        <v>1</v>
      </c>
      <c r="BI136">
        <v>1</v>
      </c>
      <c r="BJ136">
        <v>2</v>
      </c>
      <c r="BK136">
        <v>0</v>
      </c>
      <c r="BL136">
        <v>2</v>
      </c>
      <c r="BM136">
        <v>1</v>
      </c>
      <c r="BN136">
        <v>1</v>
      </c>
      <c r="BO136">
        <v>1</v>
      </c>
      <c r="BP136">
        <v>2</v>
      </c>
      <c r="BQ136">
        <v>2</v>
      </c>
      <c r="BR136">
        <v>2</v>
      </c>
      <c r="BS136">
        <v>0</v>
      </c>
      <c r="BT136">
        <v>2</v>
      </c>
      <c r="BU136">
        <v>1</v>
      </c>
      <c r="BV136">
        <v>2</v>
      </c>
      <c r="BW136">
        <v>1</v>
      </c>
      <c r="BX136">
        <v>0</v>
      </c>
      <c r="BY136">
        <v>1</v>
      </c>
      <c r="BZ136">
        <v>2</v>
      </c>
      <c r="CA136">
        <v>2</v>
      </c>
      <c r="CB136">
        <v>1</v>
      </c>
      <c r="CC136">
        <v>0</v>
      </c>
      <c r="CD136">
        <v>2</v>
      </c>
    </row>
    <row r="137" spans="1:82" x14ac:dyDescent="0.3">
      <c r="A137" s="155">
        <v>538</v>
      </c>
      <c r="B137" t="s">
        <v>279</v>
      </c>
      <c r="D137">
        <v>2</v>
      </c>
      <c r="E137">
        <v>2</v>
      </c>
      <c r="F137">
        <v>0</v>
      </c>
      <c r="G137">
        <v>2</v>
      </c>
      <c r="H137">
        <v>2</v>
      </c>
      <c r="I137">
        <v>1</v>
      </c>
      <c r="J137">
        <v>0</v>
      </c>
      <c r="K137">
        <v>2</v>
      </c>
      <c r="L137">
        <v>1</v>
      </c>
      <c r="M137">
        <v>0</v>
      </c>
      <c r="N137">
        <v>0</v>
      </c>
      <c r="O137">
        <v>0</v>
      </c>
      <c r="P137">
        <v>2</v>
      </c>
      <c r="Q137">
        <v>2</v>
      </c>
      <c r="R137">
        <v>0</v>
      </c>
      <c r="S137">
        <v>2</v>
      </c>
      <c r="T137">
        <v>2</v>
      </c>
      <c r="U137">
        <v>2</v>
      </c>
      <c r="V137">
        <v>1</v>
      </c>
      <c r="W137">
        <v>0</v>
      </c>
      <c r="X137">
        <v>2</v>
      </c>
      <c r="Y137">
        <v>1</v>
      </c>
      <c r="Z137">
        <v>1</v>
      </c>
      <c r="AA137">
        <v>2</v>
      </c>
      <c r="AB137">
        <v>2</v>
      </c>
      <c r="AC137">
        <v>0</v>
      </c>
      <c r="AD137">
        <v>0</v>
      </c>
      <c r="AE137">
        <v>0</v>
      </c>
      <c r="AF137">
        <v>1</v>
      </c>
      <c r="AG137">
        <v>0</v>
      </c>
      <c r="AH137">
        <v>2</v>
      </c>
      <c r="AI137">
        <v>2</v>
      </c>
      <c r="AJ137">
        <v>2</v>
      </c>
      <c r="AK137">
        <v>0</v>
      </c>
      <c r="AL137">
        <v>2</v>
      </c>
      <c r="AM137">
        <v>2</v>
      </c>
      <c r="AN137">
        <v>1</v>
      </c>
      <c r="AO137">
        <v>2</v>
      </c>
      <c r="AP137">
        <v>1</v>
      </c>
      <c r="AQ137">
        <v>0</v>
      </c>
      <c r="AR137">
        <v>0</v>
      </c>
      <c r="AS137">
        <v>2</v>
      </c>
      <c r="AT137">
        <v>2</v>
      </c>
      <c r="AU137">
        <v>1</v>
      </c>
      <c r="AV137">
        <v>1</v>
      </c>
      <c r="AW137">
        <v>2</v>
      </c>
      <c r="AX137">
        <v>2</v>
      </c>
      <c r="AY137">
        <v>2</v>
      </c>
      <c r="AZ137">
        <v>1</v>
      </c>
      <c r="BA137">
        <v>2</v>
      </c>
      <c r="BB137">
        <v>2</v>
      </c>
      <c r="BC137">
        <v>2</v>
      </c>
      <c r="BD137">
        <v>0</v>
      </c>
      <c r="BE137">
        <v>0</v>
      </c>
      <c r="BF137">
        <v>1</v>
      </c>
      <c r="BG137">
        <v>0</v>
      </c>
      <c r="BH137">
        <v>1</v>
      </c>
      <c r="BI137">
        <v>1</v>
      </c>
      <c r="BJ137">
        <v>2</v>
      </c>
      <c r="BK137">
        <v>0</v>
      </c>
      <c r="BL137">
        <v>2</v>
      </c>
      <c r="BM137">
        <v>1</v>
      </c>
      <c r="BN137">
        <v>2</v>
      </c>
      <c r="BO137">
        <v>1</v>
      </c>
      <c r="BP137">
        <v>1</v>
      </c>
      <c r="BQ137">
        <v>2</v>
      </c>
      <c r="BR137">
        <v>1</v>
      </c>
      <c r="BS137">
        <v>0</v>
      </c>
      <c r="BT137">
        <v>2</v>
      </c>
      <c r="BU137">
        <v>2</v>
      </c>
      <c r="BV137">
        <v>2</v>
      </c>
      <c r="BW137">
        <v>2</v>
      </c>
      <c r="BX137">
        <v>0</v>
      </c>
      <c r="BY137">
        <v>2</v>
      </c>
      <c r="BZ137">
        <v>2</v>
      </c>
      <c r="CA137">
        <v>2</v>
      </c>
      <c r="CB137">
        <v>1</v>
      </c>
      <c r="CC137">
        <v>0</v>
      </c>
      <c r="CD137">
        <v>2</v>
      </c>
    </row>
    <row r="138" spans="1:82" x14ac:dyDescent="0.3">
      <c r="A138" s="155">
        <v>540</v>
      </c>
      <c r="B138" t="s">
        <v>253</v>
      </c>
      <c r="D138">
        <v>0</v>
      </c>
      <c r="E138">
        <v>0</v>
      </c>
      <c r="F138">
        <v>0</v>
      </c>
      <c r="G138">
        <v>0</v>
      </c>
      <c r="H138">
        <v>21600</v>
      </c>
      <c r="I138">
        <v>0</v>
      </c>
      <c r="J138">
        <v>0</v>
      </c>
      <c r="K138">
        <v>0</v>
      </c>
      <c r="L138">
        <v>840637</v>
      </c>
      <c r="M138">
        <v>3969112</v>
      </c>
      <c r="N138">
        <v>0</v>
      </c>
      <c r="O138">
        <v>203311</v>
      </c>
      <c r="P138">
        <v>0</v>
      </c>
      <c r="Q138">
        <v>1000000</v>
      </c>
      <c r="R138">
        <v>0</v>
      </c>
      <c r="S138">
        <v>0</v>
      </c>
      <c r="T138">
        <v>0</v>
      </c>
      <c r="U138">
        <v>0</v>
      </c>
      <c r="V138">
        <v>150633</v>
      </c>
      <c r="W138">
        <v>0</v>
      </c>
      <c r="X138">
        <v>0</v>
      </c>
      <c r="Y138">
        <v>0</v>
      </c>
      <c r="Z138">
        <v>0</v>
      </c>
      <c r="AA138">
        <v>0</v>
      </c>
      <c r="AB138">
        <v>28375</v>
      </c>
      <c r="AC138">
        <v>1271062</v>
      </c>
      <c r="AD138">
        <v>66054</v>
      </c>
      <c r="AE138">
        <v>0</v>
      </c>
      <c r="AF138">
        <v>1986850</v>
      </c>
      <c r="AG138">
        <v>0</v>
      </c>
      <c r="AH138">
        <v>0</v>
      </c>
      <c r="AI138">
        <v>815978</v>
      </c>
      <c r="AJ138">
        <v>308969</v>
      </c>
      <c r="AK138">
        <v>0</v>
      </c>
      <c r="AL138">
        <v>0</v>
      </c>
      <c r="AM138">
        <v>0</v>
      </c>
      <c r="AN138">
        <v>1197900</v>
      </c>
      <c r="AO138">
        <v>0</v>
      </c>
      <c r="AP138">
        <v>270000</v>
      </c>
      <c r="AQ138">
        <v>0</v>
      </c>
      <c r="AR138">
        <v>0</v>
      </c>
      <c r="AS138">
        <v>0</v>
      </c>
      <c r="AT138">
        <v>0</v>
      </c>
      <c r="AU138">
        <v>5398343</v>
      </c>
      <c r="AV138">
        <v>150000</v>
      </c>
      <c r="AW138">
        <v>0</v>
      </c>
      <c r="AX138">
        <v>3105</v>
      </c>
      <c r="AY138">
        <v>0</v>
      </c>
      <c r="AZ138">
        <v>0</v>
      </c>
      <c r="BA138">
        <v>48302</v>
      </c>
      <c r="BB138">
        <v>1367772</v>
      </c>
      <c r="BC138">
        <v>0</v>
      </c>
      <c r="BD138">
        <v>12307</v>
      </c>
      <c r="BE138">
        <v>0</v>
      </c>
      <c r="BF138">
        <v>0</v>
      </c>
      <c r="BG138">
        <v>0</v>
      </c>
      <c r="BH138">
        <v>2720736</v>
      </c>
      <c r="BI138">
        <v>0</v>
      </c>
      <c r="BJ138">
        <v>0</v>
      </c>
      <c r="BK138">
        <v>0</v>
      </c>
      <c r="BL138">
        <v>3518400</v>
      </c>
      <c r="BM138">
        <v>1666590</v>
      </c>
      <c r="BN138">
        <v>0</v>
      </c>
      <c r="BO138">
        <v>1572085</v>
      </c>
      <c r="BP138">
        <v>500000</v>
      </c>
      <c r="BQ138">
        <v>0</v>
      </c>
      <c r="BR138">
        <v>1867237</v>
      </c>
      <c r="BS138">
        <v>148343</v>
      </c>
      <c r="BT138">
        <v>743482</v>
      </c>
      <c r="BU138">
        <v>0</v>
      </c>
      <c r="BV138">
        <v>0</v>
      </c>
      <c r="BW138">
        <v>183901</v>
      </c>
      <c r="BX138">
        <v>0</v>
      </c>
      <c r="BY138">
        <v>0</v>
      </c>
      <c r="BZ138">
        <v>74530</v>
      </c>
      <c r="CA138">
        <v>520875</v>
      </c>
      <c r="CB138">
        <v>0</v>
      </c>
      <c r="CC138">
        <v>162061</v>
      </c>
      <c r="CD138">
        <v>4954636</v>
      </c>
    </row>
    <row r="139" spans="1:82" x14ac:dyDescent="0.3">
      <c r="A139" s="155">
        <v>541</v>
      </c>
      <c r="B139" t="s">
        <v>308</v>
      </c>
      <c r="D139">
        <v>221944</v>
      </c>
      <c r="E139">
        <v>-3297</v>
      </c>
      <c r="F139">
        <v>0</v>
      </c>
      <c r="G139">
        <v>43482</v>
      </c>
      <c r="H139">
        <v>113545</v>
      </c>
      <c r="I139">
        <v>-22651</v>
      </c>
      <c r="J139">
        <v>0</v>
      </c>
      <c r="K139">
        <v>19942</v>
      </c>
      <c r="L139">
        <v>680104</v>
      </c>
      <c r="M139">
        <v>0</v>
      </c>
      <c r="N139">
        <v>0</v>
      </c>
      <c r="O139">
        <v>0</v>
      </c>
      <c r="P139">
        <v>22773</v>
      </c>
      <c r="Q139">
        <v>6351256</v>
      </c>
      <c r="R139">
        <v>0</v>
      </c>
      <c r="S139">
        <v>44674</v>
      </c>
      <c r="T139">
        <v>309030</v>
      </c>
      <c r="U139">
        <v>207384</v>
      </c>
      <c r="V139">
        <v>1217122</v>
      </c>
      <c r="W139">
        <v>0</v>
      </c>
      <c r="X139">
        <v>23851</v>
      </c>
      <c r="Y139">
        <v>237806</v>
      </c>
      <c r="Z139">
        <v>548376</v>
      </c>
      <c r="AA139">
        <v>-15883</v>
      </c>
      <c r="AB139">
        <v>23949</v>
      </c>
      <c r="AC139">
        <v>0</v>
      </c>
      <c r="AD139">
        <v>0</v>
      </c>
      <c r="AE139">
        <v>0</v>
      </c>
      <c r="AF139">
        <v>5740858</v>
      </c>
      <c r="AG139">
        <v>-255</v>
      </c>
      <c r="AH139">
        <v>-51147</v>
      </c>
      <c r="AI139">
        <v>1558533</v>
      </c>
      <c r="AJ139">
        <v>9824</v>
      </c>
      <c r="AK139">
        <v>18990</v>
      </c>
      <c r="AL139">
        <v>5473466</v>
      </c>
      <c r="AM139">
        <v>-57813</v>
      </c>
      <c r="AN139">
        <v>581568</v>
      </c>
      <c r="AO139">
        <v>0</v>
      </c>
      <c r="AP139">
        <v>-77138</v>
      </c>
      <c r="AQ139">
        <v>0</v>
      </c>
      <c r="AR139">
        <v>0</v>
      </c>
      <c r="AS139">
        <v>172145</v>
      </c>
      <c r="AT139">
        <v>174120</v>
      </c>
      <c r="AU139">
        <v>29000301</v>
      </c>
      <c r="AV139">
        <v>7763477</v>
      </c>
      <c r="AW139">
        <v>491881</v>
      </c>
      <c r="AX139">
        <v>-51718</v>
      </c>
      <c r="AY139">
        <v>-98937</v>
      </c>
      <c r="AZ139">
        <v>55413</v>
      </c>
      <c r="BA139">
        <v>-96248</v>
      </c>
      <c r="BB139">
        <v>229848</v>
      </c>
      <c r="BC139">
        <v>-61047</v>
      </c>
      <c r="BD139">
        <v>0</v>
      </c>
      <c r="BE139">
        <v>19380</v>
      </c>
      <c r="BF139">
        <v>-81081</v>
      </c>
      <c r="BG139">
        <v>0</v>
      </c>
      <c r="BH139">
        <v>510876</v>
      </c>
      <c r="BI139">
        <v>90204</v>
      </c>
      <c r="BJ139">
        <v>0</v>
      </c>
      <c r="BK139">
        <v>0</v>
      </c>
      <c r="BL139">
        <v>3972047</v>
      </c>
      <c r="BM139">
        <v>280118</v>
      </c>
      <c r="BN139">
        <v>352765</v>
      </c>
      <c r="BO139">
        <v>5710197</v>
      </c>
      <c r="BP139">
        <v>9552320</v>
      </c>
      <c r="BQ139">
        <v>5243</v>
      </c>
      <c r="BR139">
        <v>63269</v>
      </c>
      <c r="BS139">
        <v>0</v>
      </c>
      <c r="BT139">
        <v>1299735</v>
      </c>
      <c r="BU139">
        <v>6718</v>
      </c>
      <c r="BV139">
        <v>-31742</v>
      </c>
      <c r="BW139">
        <v>3015612</v>
      </c>
      <c r="BX139">
        <v>0</v>
      </c>
      <c r="BY139">
        <v>4639166</v>
      </c>
      <c r="BZ139">
        <v>191</v>
      </c>
      <c r="CA139">
        <v>0</v>
      </c>
      <c r="CB139">
        <v>85887</v>
      </c>
      <c r="CC139">
        <v>0</v>
      </c>
      <c r="CD139">
        <v>0</v>
      </c>
    </row>
    <row r="140" spans="1:82" x14ac:dyDescent="0.3">
      <c r="A140" s="155">
        <v>542</v>
      </c>
      <c r="B140" t="s">
        <v>889</v>
      </c>
      <c r="D140">
        <v>0</v>
      </c>
      <c r="E140">
        <v>0</v>
      </c>
      <c r="F140">
        <v>0</v>
      </c>
      <c r="G140">
        <v>0</v>
      </c>
      <c r="H140">
        <v>0</v>
      </c>
      <c r="I140">
        <v>0</v>
      </c>
      <c r="J140">
        <v>0</v>
      </c>
      <c r="K140">
        <v>0</v>
      </c>
      <c r="L140">
        <v>0</v>
      </c>
      <c r="M140">
        <v>0</v>
      </c>
      <c r="N140">
        <v>0</v>
      </c>
      <c r="O140">
        <v>0</v>
      </c>
      <c r="P140">
        <v>0</v>
      </c>
      <c r="Q140">
        <v>0</v>
      </c>
      <c r="R140">
        <v>0</v>
      </c>
      <c r="S140">
        <v>0</v>
      </c>
      <c r="T140">
        <v>0</v>
      </c>
      <c r="U140">
        <v>0</v>
      </c>
      <c r="V140">
        <v>1026478</v>
      </c>
      <c r="W140">
        <v>0</v>
      </c>
      <c r="X140">
        <v>0</v>
      </c>
      <c r="Y140">
        <v>0</v>
      </c>
      <c r="Z140">
        <v>161285</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12351795</v>
      </c>
      <c r="AV140">
        <v>0</v>
      </c>
      <c r="AW140">
        <v>0</v>
      </c>
      <c r="AX140">
        <v>59000</v>
      </c>
      <c r="AY140">
        <v>0</v>
      </c>
      <c r="AZ140">
        <v>0</v>
      </c>
      <c r="BA140">
        <v>5850</v>
      </c>
      <c r="BB140">
        <v>0</v>
      </c>
      <c r="BC140">
        <v>0</v>
      </c>
      <c r="BD140">
        <v>0</v>
      </c>
      <c r="BE140">
        <v>0</v>
      </c>
      <c r="BF140">
        <v>0</v>
      </c>
      <c r="BG140">
        <v>0</v>
      </c>
      <c r="BH140">
        <v>0</v>
      </c>
      <c r="BI140">
        <v>0</v>
      </c>
      <c r="BJ140">
        <v>0</v>
      </c>
      <c r="BK140">
        <v>0</v>
      </c>
      <c r="BL140">
        <v>1129030</v>
      </c>
      <c r="BM140">
        <v>564500</v>
      </c>
      <c r="BN140">
        <v>0</v>
      </c>
      <c r="BO140">
        <v>0</v>
      </c>
      <c r="BP140">
        <v>942414</v>
      </c>
      <c r="BQ140">
        <v>0</v>
      </c>
      <c r="BR140">
        <v>0</v>
      </c>
      <c r="BS140">
        <v>0</v>
      </c>
      <c r="BT140">
        <v>0</v>
      </c>
      <c r="BU140">
        <v>0</v>
      </c>
      <c r="BV140">
        <v>1470</v>
      </c>
      <c r="BW140">
        <v>0</v>
      </c>
      <c r="BX140">
        <v>0</v>
      </c>
      <c r="BY140">
        <v>0</v>
      </c>
      <c r="BZ140">
        <v>0</v>
      </c>
      <c r="CA140">
        <v>0</v>
      </c>
      <c r="CB140">
        <v>0</v>
      </c>
      <c r="CC140">
        <v>0</v>
      </c>
      <c r="CD140">
        <v>0</v>
      </c>
    </row>
    <row r="141" spans="1:82" x14ac:dyDescent="0.3">
      <c r="A141" s="155">
        <v>544</v>
      </c>
      <c r="B141" t="s">
        <v>52</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1.4999999999999999E-2</v>
      </c>
      <c r="AD141">
        <v>0</v>
      </c>
      <c r="AE141">
        <v>0</v>
      </c>
      <c r="AF141">
        <v>0</v>
      </c>
      <c r="AG141">
        <v>0</v>
      </c>
      <c r="AH141">
        <v>0</v>
      </c>
      <c r="AI141">
        <v>0</v>
      </c>
      <c r="AJ141">
        <v>0</v>
      </c>
      <c r="AK141">
        <v>0</v>
      </c>
      <c r="AL141">
        <v>0.03</v>
      </c>
      <c r="AM141">
        <v>0</v>
      </c>
      <c r="AN141">
        <v>0</v>
      </c>
      <c r="AO141">
        <v>0</v>
      </c>
      <c r="AP141">
        <v>0</v>
      </c>
      <c r="AQ141">
        <v>0</v>
      </c>
      <c r="AR141">
        <v>0</v>
      </c>
      <c r="AS141">
        <v>0</v>
      </c>
      <c r="AT141">
        <v>0</v>
      </c>
      <c r="AU141">
        <v>0</v>
      </c>
      <c r="AV141">
        <v>0</v>
      </c>
      <c r="AW141">
        <v>0</v>
      </c>
      <c r="AX141">
        <v>0</v>
      </c>
      <c r="AY141">
        <v>0.01</v>
      </c>
      <c r="AZ141">
        <v>0</v>
      </c>
      <c r="BA141">
        <v>0</v>
      </c>
      <c r="BB141">
        <v>0</v>
      </c>
      <c r="BC141">
        <v>0</v>
      </c>
      <c r="BD141">
        <v>0</v>
      </c>
      <c r="BE141">
        <v>0</v>
      </c>
      <c r="BF141">
        <v>0</v>
      </c>
      <c r="BG141">
        <v>0</v>
      </c>
      <c r="BH141">
        <v>0</v>
      </c>
      <c r="BI141">
        <v>0</v>
      </c>
      <c r="BJ141">
        <v>0</v>
      </c>
      <c r="BK141">
        <v>0</v>
      </c>
      <c r="BL141">
        <v>0</v>
      </c>
      <c r="BM141">
        <v>0.03</v>
      </c>
      <c r="BN141">
        <v>0</v>
      </c>
      <c r="BO141">
        <v>0</v>
      </c>
      <c r="BP141">
        <v>0</v>
      </c>
      <c r="BQ141">
        <v>0</v>
      </c>
      <c r="BR141">
        <v>0</v>
      </c>
      <c r="BS141">
        <v>0</v>
      </c>
      <c r="BT141">
        <v>0</v>
      </c>
      <c r="BU141">
        <v>0</v>
      </c>
      <c r="BV141">
        <v>0</v>
      </c>
      <c r="BW141">
        <v>0</v>
      </c>
      <c r="BX141">
        <v>0</v>
      </c>
      <c r="BY141">
        <v>0</v>
      </c>
      <c r="BZ141">
        <v>0</v>
      </c>
      <c r="CA141">
        <v>0</v>
      </c>
      <c r="CB141">
        <v>0</v>
      </c>
      <c r="CC141">
        <v>0</v>
      </c>
      <c r="CD141">
        <v>0</v>
      </c>
    </row>
    <row r="142" spans="1:82" x14ac:dyDescent="0.3">
      <c r="A142" s="155">
        <v>545</v>
      </c>
      <c r="B142" t="s">
        <v>53</v>
      </c>
      <c r="D142">
        <v>0</v>
      </c>
      <c r="E142">
        <v>0</v>
      </c>
      <c r="F142">
        <v>0</v>
      </c>
      <c r="G142">
        <v>0</v>
      </c>
      <c r="H142">
        <v>0</v>
      </c>
      <c r="I142">
        <v>0</v>
      </c>
      <c r="J142">
        <v>0</v>
      </c>
      <c r="K142">
        <v>0</v>
      </c>
      <c r="L142">
        <v>0</v>
      </c>
      <c r="M142">
        <v>0</v>
      </c>
      <c r="N142">
        <v>0</v>
      </c>
      <c r="O142">
        <v>0</v>
      </c>
      <c r="P142">
        <v>0</v>
      </c>
      <c r="Q142">
        <v>0.25</v>
      </c>
      <c r="R142">
        <v>0</v>
      </c>
      <c r="S142">
        <v>0</v>
      </c>
      <c r="T142">
        <v>0</v>
      </c>
      <c r="U142">
        <v>0</v>
      </c>
      <c r="V142">
        <v>0.03</v>
      </c>
      <c r="W142">
        <v>0</v>
      </c>
      <c r="X142">
        <v>0</v>
      </c>
      <c r="Y142">
        <v>0</v>
      </c>
      <c r="Z142">
        <v>0</v>
      </c>
      <c r="AA142">
        <v>0</v>
      </c>
      <c r="AB142">
        <v>0</v>
      </c>
      <c r="AC142">
        <v>0.04</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0.08</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row>
    <row r="143" spans="1:82" x14ac:dyDescent="0.3">
      <c r="A143" s="155">
        <v>547</v>
      </c>
      <c r="B143" t="s">
        <v>890</v>
      </c>
      <c r="D143">
        <v>2</v>
      </c>
      <c r="E143">
        <v>3</v>
      </c>
      <c r="F143">
        <v>0</v>
      </c>
      <c r="G143">
        <v>1</v>
      </c>
      <c r="H143">
        <v>2</v>
      </c>
      <c r="I143">
        <v>2</v>
      </c>
      <c r="J143">
        <v>2</v>
      </c>
      <c r="K143">
        <v>2</v>
      </c>
      <c r="L143">
        <v>3</v>
      </c>
      <c r="M143">
        <v>3</v>
      </c>
      <c r="N143">
        <v>2</v>
      </c>
      <c r="O143">
        <v>1</v>
      </c>
      <c r="P143">
        <v>2</v>
      </c>
      <c r="Q143">
        <v>4</v>
      </c>
      <c r="R143">
        <v>2</v>
      </c>
      <c r="S143">
        <v>2</v>
      </c>
      <c r="T143">
        <v>2</v>
      </c>
      <c r="U143">
        <v>2</v>
      </c>
      <c r="V143">
        <v>3</v>
      </c>
      <c r="W143">
        <v>2</v>
      </c>
      <c r="X143">
        <v>0</v>
      </c>
      <c r="Y143">
        <v>3</v>
      </c>
      <c r="Z143">
        <v>3</v>
      </c>
      <c r="AA143">
        <v>2</v>
      </c>
      <c r="AB143">
        <v>2</v>
      </c>
      <c r="AC143">
        <v>3</v>
      </c>
      <c r="AD143">
        <v>0</v>
      </c>
      <c r="AE143">
        <v>2</v>
      </c>
      <c r="AF143">
        <v>3</v>
      </c>
      <c r="AG143">
        <v>2</v>
      </c>
      <c r="AH143">
        <v>2</v>
      </c>
      <c r="AI143">
        <v>3</v>
      </c>
      <c r="AJ143">
        <v>2</v>
      </c>
      <c r="AK143">
        <v>2</v>
      </c>
      <c r="AL143">
        <v>1</v>
      </c>
      <c r="AM143">
        <v>2</v>
      </c>
      <c r="AN143">
        <v>3</v>
      </c>
      <c r="AO143">
        <v>2</v>
      </c>
      <c r="AP143">
        <v>3</v>
      </c>
      <c r="AQ143">
        <v>2</v>
      </c>
      <c r="AR143">
        <v>2</v>
      </c>
      <c r="AS143">
        <v>2</v>
      </c>
      <c r="AT143">
        <v>2</v>
      </c>
      <c r="AU143">
        <v>3</v>
      </c>
      <c r="AV143">
        <v>3</v>
      </c>
      <c r="AW143">
        <v>2</v>
      </c>
      <c r="AX143">
        <v>2</v>
      </c>
      <c r="AY143">
        <v>2</v>
      </c>
      <c r="AZ143">
        <v>2</v>
      </c>
      <c r="BA143">
        <v>2</v>
      </c>
      <c r="BB143">
        <v>3</v>
      </c>
      <c r="BC143">
        <v>2</v>
      </c>
      <c r="BD143">
        <v>2</v>
      </c>
      <c r="BE143">
        <v>2</v>
      </c>
      <c r="BF143">
        <v>2</v>
      </c>
      <c r="BG143">
        <v>2</v>
      </c>
      <c r="BH143">
        <v>1</v>
      </c>
      <c r="BI143">
        <v>3</v>
      </c>
      <c r="BJ143">
        <v>2</v>
      </c>
      <c r="BK143">
        <v>2</v>
      </c>
      <c r="BL143">
        <v>3</v>
      </c>
      <c r="BM143">
        <v>3</v>
      </c>
      <c r="BN143">
        <v>2</v>
      </c>
      <c r="BO143">
        <v>3</v>
      </c>
      <c r="BP143">
        <v>3</v>
      </c>
      <c r="BQ143">
        <v>2</v>
      </c>
      <c r="BR143">
        <v>2</v>
      </c>
      <c r="BS143">
        <v>2</v>
      </c>
      <c r="BT143">
        <v>3</v>
      </c>
      <c r="BU143">
        <v>2</v>
      </c>
      <c r="BV143">
        <v>2</v>
      </c>
      <c r="BW143">
        <v>2</v>
      </c>
      <c r="BX143">
        <v>1</v>
      </c>
      <c r="BY143">
        <v>3</v>
      </c>
      <c r="BZ143">
        <v>2</v>
      </c>
      <c r="CA143">
        <v>3</v>
      </c>
      <c r="CB143">
        <v>2</v>
      </c>
      <c r="CC143">
        <v>2</v>
      </c>
      <c r="CD143">
        <v>3</v>
      </c>
    </row>
    <row r="144" spans="1:82" x14ac:dyDescent="0.3">
      <c r="A144" s="155">
        <v>554</v>
      </c>
      <c r="B144" t="s">
        <v>318</v>
      </c>
      <c r="D144">
        <v>1324920</v>
      </c>
      <c r="L144">
        <v>923004</v>
      </c>
      <c r="M144">
        <v>58695436</v>
      </c>
      <c r="T144">
        <v>1144072</v>
      </c>
      <c r="Z144">
        <v>458178</v>
      </c>
      <c r="AC144">
        <v>102778</v>
      </c>
      <c r="AF144">
        <v>13491667</v>
      </c>
      <c r="AI144">
        <v>1185119</v>
      </c>
      <c r="AL144">
        <v>5919977</v>
      </c>
      <c r="AN144">
        <v>0</v>
      </c>
      <c r="AR144">
        <v>819525</v>
      </c>
      <c r="AT144">
        <v>1354249</v>
      </c>
      <c r="AU144">
        <v>62895928</v>
      </c>
      <c r="AV144">
        <v>20644593</v>
      </c>
      <c r="AW144">
        <v>836982</v>
      </c>
      <c r="BF144">
        <v>588903</v>
      </c>
      <c r="BH144">
        <v>1126491</v>
      </c>
      <c r="BM144">
        <v>16086105</v>
      </c>
      <c r="BN144">
        <v>1038309</v>
      </c>
      <c r="BO144">
        <v>7285844</v>
      </c>
      <c r="BP144">
        <v>13481565</v>
      </c>
      <c r="BW144">
        <v>17300596</v>
      </c>
      <c r="BX144">
        <v>0</v>
      </c>
      <c r="BY144">
        <v>14277562</v>
      </c>
      <c r="CD144">
        <v>2957970</v>
      </c>
    </row>
    <row r="145" spans="1:82" x14ac:dyDescent="0.3">
      <c r="A145" s="155">
        <v>555</v>
      </c>
      <c r="B145" t="s">
        <v>319</v>
      </c>
      <c r="D145">
        <v>845720</v>
      </c>
      <c r="L145">
        <v>905927</v>
      </c>
      <c r="M145">
        <v>26837982</v>
      </c>
      <c r="T145">
        <v>497401</v>
      </c>
      <c r="Z145">
        <v>0</v>
      </c>
      <c r="AC145">
        <v>0</v>
      </c>
      <c r="AF145">
        <v>11296651</v>
      </c>
      <c r="AI145">
        <v>1169460</v>
      </c>
      <c r="AL145">
        <v>4306813</v>
      </c>
      <c r="AN145">
        <v>0</v>
      </c>
      <c r="AR145">
        <v>819525</v>
      </c>
      <c r="AT145">
        <v>778116</v>
      </c>
      <c r="AU145">
        <v>45836995</v>
      </c>
      <c r="AV145">
        <v>17439758</v>
      </c>
      <c r="AW145">
        <v>818819</v>
      </c>
      <c r="BF145">
        <v>0</v>
      </c>
      <c r="BH145">
        <v>1077258</v>
      </c>
      <c r="BM145">
        <v>15410659</v>
      </c>
      <c r="BN145">
        <v>910967</v>
      </c>
      <c r="BO145">
        <v>6977417</v>
      </c>
      <c r="BP145">
        <v>11365308</v>
      </c>
      <c r="BW145">
        <v>17300596</v>
      </c>
      <c r="BX145">
        <v>0</v>
      </c>
      <c r="BY145">
        <v>7419889</v>
      </c>
      <c r="CD145">
        <v>2854493</v>
      </c>
    </row>
    <row r="146" spans="1:82" x14ac:dyDescent="0.3">
      <c r="A146" s="155">
        <v>556</v>
      </c>
      <c r="B146" t="s">
        <v>320</v>
      </c>
      <c r="D146">
        <v>1273502</v>
      </c>
      <c r="L146">
        <v>391190</v>
      </c>
      <c r="M146">
        <v>8864196</v>
      </c>
      <c r="T146">
        <v>591286</v>
      </c>
      <c r="Z146">
        <v>1126865</v>
      </c>
      <c r="AC146">
        <v>908999</v>
      </c>
      <c r="AF146">
        <v>3238362</v>
      </c>
      <c r="AI146">
        <v>468506</v>
      </c>
      <c r="AL146">
        <v>1152380</v>
      </c>
      <c r="AN146">
        <v>847120</v>
      </c>
      <c r="AR146">
        <v>0</v>
      </c>
      <c r="AT146">
        <v>76330</v>
      </c>
      <c r="AU146">
        <v>13734441</v>
      </c>
      <c r="AV146">
        <v>3468476</v>
      </c>
      <c r="AW146">
        <v>77245</v>
      </c>
      <c r="BF146">
        <v>550492</v>
      </c>
      <c r="BH146">
        <v>748836</v>
      </c>
      <c r="BM146">
        <v>1942493</v>
      </c>
      <c r="BN146">
        <v>23208</v>
      </c>
      <c r="BO146">
        <v>1884678</v>
      </c>
      <c r="BP146">
        <v>6805328</v>
      </c>
      <c r="BW146">
        <v>5775329</v>
      </c>
      <c r="BX146">
        <v>517094</v>
      </c>
      <c r="BY146">
        <v>1622625</v>
      </c>
      <c r="CD146">
        <v>2355461</v>
      </c>
    </row>
    <row r="147" spans="1:82" x14ac:dyDescent="0.3">
      <c r="A147" s="155">
        <v>557</v>
      </c>
      <c r="B147" t="s">
        <v>321</v>
      </c>
      <c r="D147">
        <v>516556</v>
      </c>
      <c r="L147">
        <v>0</v>
      </c>
      <c r="M147">
        <v>7175673</v>
      </c>
      <c r="T147">
        <v>264880</v>
      </c>
      <c r="Z147">
        <v>1126865</v>
      </c>
      <c r="AC147">
        <v>898306</v>
      </c>
      <c r="AF147">
        <v>2163021</v>
      </c>
      <c r="AI147">
        <v>0</v>
      </c>
      <c r="AL147">
        <v>1024644</v>
      </c>
      <c r="AN147">
        <v>484663</v>
      </c>
      <c r="AR147">
        <v>0</v>
      </c>
      <c r="AT147">
        <v>0</v>
      </c>
      <c r="AU147">
        <v>7347859</v>
      </c>
      <c r="AV147">
        <v>1684626</v>
      </c>
      <c r="AW147">
        <v>0</v>
      </c>
      <c r="BF147">
        <v>550492</v>
      </c>
      <c r="BH147">
        <v>628895</v>
      </c>
      <c r="BM147">
        <v>1469834</v>
      </c>
      <c r="BN147">
        <v>0</v>
      </c>
      <c r="BO147">
        <v>1363522</v>
      </c>
      <c r="BP147">
        <v>3254456</v>
      </c>
      <c r="BW147">
        <v>5731530</v>
      </c>
      <c r="BX147">
        <v>233488</v>
      </c>
      <c r="BY147">
        <v>1175310</v>
      </c>
      <c r="CD147">
        <v>2275053</v>
      </c>
    </row>
    <row r="148" spans="1:82" x14ac:dyDescent="0.3">
      <c r="A148" s="155">
        <v>575</v>
      </c>
      <c r="B148" t="s">
        <v>300</v>
      </c>
      <c r="D148">
        <v>0</v>
      </c>
      <c r="E148">
        <v>0</v>
      </c>
      <c r="F148">
        <v>0</v>
      </c>
      <c r="G148">
        <v>0</v>
      </c>
      <c r="H148">
        <v>0</v>
      </c>
      <c r="I148">
        <v>0</v>
      </c>
      <c r="J148">
        <v>0</v>
      </c>
      <c r="K148">
        <v>468</v>
      </c>
      <c r="L148">
        <v>0</v>
      </c>
      <c r="M148">
        <v>8835378</v>
      </c>
      <c r="N148">
        <v>0</v>
      </c>
      <c r="O148">
        <v>0</v>
      </c>
      <c r="P148">
        <v>17148</v>
      </c>
      <c r="Q148">
        <v>0</v>
      </c>
      <c r="R148">
        <v>0</v>
      </c>
      <c r="S148">
        <v>0</v>
      </c>
      <c r="T148">
        <v>0</v>
      </c>
      <c r="U148">
        <v>0</v>
      </c>
      <c r="V148">
        <v>0</v>
      </c>
      <c r="W148">
        <v>0</v>
      </c>
      <c r="X148">
        <v>29965</v>
      </c>
      <c r="Y148">
        <v>0</v>
      </c>
      <c r="Z148">
        <v>0</v>
      </c>
      <c r="AA148">
        <v>0</v>
      </c>
      <c r="AB148">
        <v>0</v>
      </c>
      <c r="AC148">
        <v>0</v>
      </c>
      <c r="AD148">
        <v>0</v>
      </c>
      <c r="AE148">
        <v>0</v>
      </c>
      <c r="AF148">
        <v>0</v>
      </c>
      <c r="AG148">
        <v>0</v>
      </c>
      <c r="AH148">
        <v>22579</v>
      </c>
      <c r="AI148">
        <v>0</v>
      </c>
      <c r="AJ148">
        <v>0</v>
      </c>
      <c r="AK148">
        <v>579</v>
      </c>
      <c r="AL148">
        <v>0</v>
      </c>
      <c r="AM148">
        <v>0</v>
      </c>
      <c r="AN148">
        <v>0</v>
      </c>
      <c r="AO148">
        <v>0</v>
      </c>
      <c r="AP148">
        <v>0</v>
      </c>
      <c r="AQ148">
        <v>0</v>
      </c>
      <c r="AR148">
        <v>0</v>
      </c>
      <c r="AS148">
        <v>262241</v>
      </c>
      <c r="AT148">
        <v>0</v>
      </c>
      <c r="AU148">
        <v>0</v>
      </c>
      <c r="AV148">
        <v>234700</v>
      </c>
      <c r="AW148">
        <v>0</v>
      </c>
      <c r="AX148">
        <v>36408</v>
      </c>
      <c r="AY148">
        <v>2286</v>
      </c>
      <c r="AZ148">
        <v>3946</v>
      </c>
      <c r="BA148">
        <v>85406</v>
      </c>
      <c r="BB148">
        <v>0</v>
      </c>
      <c r="BC148">
        <v>45</v>
      </c>
      <c r="BD148">
        <v>0</v>
      </c>
      <c r="BE148">
        <v>4689</v>
      </c>
      <c r="BF148">
        <v>0</v>
      </c>
      <c r="BG148">
        <v>0</v>
      </c>
      <c r="BH148">
        <v>0</v>
      </c>
      <c r="BI148">
        <v>22263</v>
      </c>
      <c r="BJ148">
        <v>0</v>
      </c>
      <c r="BK148">
        <v>0</v>
      </c>
      <c r="BL148">
        <v>0</v>
      </c>
      <c r="BM148">
        <v>0</v>
      </c>
      <c r="BN148">
        <v>0</v>
      </c>
      <c r="BO148">
        <v>1470663</v>
      </c>
      <c r="BP148">
        <v>0</v>
      </c>
      <c r="BQ148">
        <v>0</v>
      </c>
      <c r="BR148">
        <v>0</v>
      </c>
      <c r="BS148">
        <v>0</v>
      </c>
      <c r="BT148">
        <v>0</v>
      </c>
      <c r="BU148">
        <v>0</v>
      </c>
      <c r="BV148">
        <v>0</v>
      </c>
      <c r="BW148">
        <v>0</v>
      </c>
      <c r="BX148">
        <v>0</v>
      </c>
      <c r="BY148">
        <v>0</v>
      </c>
      <c r="BZ148">
        <v>0</v>
      </c>
      <c r="CA148">
        <v>0</v>
      </c>
      <c r="CB148">
        <v>0</v>
      </c>
      <c r="CC148">
        <v>0</v>
      </c>
      <c r="CD148">
        <v>5100262</v>
      </c>
    </row>
    <row r="149" spans="1:82" x14ac:dyDescent="0.3">
      <c r="A149" s="155">
        <v>576</v>
      </c>
      <c r="B149" t="s">
        <v>301</v>
      </c>
      <c r="D149">
        <v>0</v>
      </c>
      <c r="E149">
        <v>0</v>
      </c>
      <c r="F149">
        <v>0</v>
      </c>
      <c r="G149">
        <v>40582</v>
      </c>
      <c r="H149">
        <v>110687</v>
      </c>
      <c r="I149">
        <v>0</v>
      </c>
      <c r="J149">
        <v>0</v>
      </c>
      <c r="K149">
        <v>0</v>
      </c>
      <c r="L149">
        <v>91125</v>
      </c>
      <c r="M149">
        <v>0</v>
      </c>
      <c r="N149">
        <v>0</v>
      </c>
      <c r="O149">
        <v>0</v>
      </c>
      <c r="P149">
        <v>0</v>
      </c>
      <c r="Q149">
        <v>5851715</v>
      </c>
      <c r="R149">
        <v>0</v>
      </c>
      <c r="S149">
        <v>0</v>
      </c>
      <c r="T149">
        <v>0</v>
      </c>
      <c r="U149">
        <v>0</v>
      </c>
      <c r="V149">
        <v>0</v>
      </c>
      <c r="W149">
        <v>0</v>
      </c>
      <c r="X149">
        <v>0</v>
      </c>
      <c r="Y149">
        <v>0</v>
      </c>
      <c r="Z149">
        <v>0</v>
      </c>
      <c r="AA149">
        <v>0</v>
      </c>
      <c r="AB149">
        <v>0</v>
      </c>
      <c r="AC149">
        <v>0</v>
      </c>
      <c r="AD149">
        <v>0</v>
      </c>
      <c r="AE149">
        <v>0</v>
      </c>
      <c r="AF149">
        <v>2671230</v>
      </c>
      <c r="AG149">
        <v>386</v>
      </c>
      <c r="AH149">
        <v>0</v>
      </c>
      <c r="AI149">
        <v>0</v>
      </c>
      <c r="AJ149">
        <v>0</v>
      </c>
      <c r="AK149">
        <v>0</v>
      </c>
      <c r="AL149">
        <v>0</v>
      </c>
      <c r="AM149">
        <v>0</v>
      </c>
      <c r="AN149">
        <v>5655</v>
      </c>
      <c r="AO149">
        <v>0</v>
      </c>
      <c r="AP149">
        <v>0</v>
      </c>
      <c r="AQ149">
        <v>0</v>
      </c>
      <c r="AR149">
        <v>0</v>
      </c>
      <c r="AS149">
        <v>0</v>
      </c>
      <c r="AT149">
        <v>151950</v>
      </c>
      <c r="AU149">
        <v>9455009</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12955144</v>
      </c>
      <c r="BQ149">
        <v>0</v>
      </c>
      <c r="BR149">
        <v>0</v>
      </c>
      <c r="BS149">
        <v>0</v>
      </c>
      <c r="BT149">
        <v>0</v>
      </c>
      <c r="BU149">
        <v>0</v>
      </c>
      <c r="BV149">
        <v>0</v>
      </c>
      <c r="BW149">
        <v>0</v>
      </c>
      <c r="BX149">
        <v>0</v>
      </c>
      <c r="BY149">
        <v>0</v>
      </c>
      <c r="BZ149">
        <v>184586</v>
      </c>
      <c r="CA149">
        <v>0</v>
      </c>
      <c r="CB149">
        <v>45436</v>
      </c>
      <c r="CC149">
        <v>0</v>
      </c>
      <c r="CD149">
        <v>0</v>
      </c>
    </row>
    <row r="150" spans="1:82" x14ac:dyDescent="0.3">
      <c r="A150" s="155">
        <v>577</v>
      </c>
      <c r="B150" t="s">
        <v>891</v>
      </c>
      <c r="D150">
        <v>2</v>
      </c>
      <c r="E150">
        <v>2</v>
      </c>
      <c r="F150">
        <v>0</v>
      </c>
      <c r="G150">
        <v>2</v>
      </c>
      <c r="H150">
        <v>2</v>
      </c>
      <c r="I150">
        <v>2</v>
      </c>
      <c r="J150">
        <v>2</v>
      </c>
      <c r="K150">
        <v>0</v>
      </c>
      <c r="L150">
        <v>2</v>
      </c>
      <c r="M150">
        <v>0</v>
      </c>
      <c r="N150">
        <v>2</v>
      </c>
      <c r="O150">
        <v>0</v>
      </c>
      <c r="P150">
        <v>2</v>
      </c>
      <c r="Q150">
        <v>1</v>
      </c>
      <c r="R150">
        <v>2</v>
      </c>
      <c r="S150">
        <v>2</v>
      </c>
      <c r="T150">
        <v>0</v>
      </c>
      <c r="U150">
        <v>2</v>
      </c>
      <c r="V150">
        <v>1</v>
      </c>
      <c r="W150">
        <v>0</v>
      </c>
      <c r="X150">
        <v>2</v>
      </c>
      <c r="Y150">
        <v>0</v>
      </c>
      <c r="Z150">
        <v>2</v>
      </c>
      <c r="AA150">
        <v>2</v>
      </c>
      <c r="AB150">
        <v>2</v>
      </c>
      <c r="AC150">
        <v>2</v>
      </c>
      <c r="AD150">
        <v>2</v>
      </c>
      <c r="AE150">
        <v>2</v>
      </c>
      <c r="AF150">
        <v>2</v>
      </c>
      <c r="AG150">
        <v>0</v>
      </c>
      <c r="AH150">
        <v>0</v>
      </c>
      <c r="AI150">
        <v>2</v>
      </c>
      <c r="AJ150">
        <v>2</v>
      </c>
      <c r="AK150">
        <v>2</v>
      </c>
      <c r="AL150">
        <v>2</v>
      </c>
      <c r="AM150">
        <v>2</v>
      </c>
      <c r="AN150">
        <v>2</v>
      </c>
      <c r="AO150">
        <v>0</v>
      </c>
      <c r="AP150">
        <v>2</v>
      </c>
      <c r="AQ150">
        <v>1</v>
      </c>
      <c r="AR150">
        <v>2</v>
      </c>
      <c r="AS150">
        <v>2</v>
      </c>
      <c r="AT150">
        <v>0</v>
      </c>
      <c r="AU150">
        <v>2</v>
      </c>
      <c r="AV150">
        <v>2</v>
      </c>
      <c r="AW150">
        <v>2</v>
      </c>
      <c r="AX150">
        <v>2</v>
      </c>
      <c r="AY150">
        <v>2</v>
      </c>
      <c r="AZ150">
        <v>0</v>
      </c>
      <c r="BA150">
        <v>2</v>
      </c>
      <c r="BB150">
        <v>0</v>
      </c>
      <c r="BC150">
        <v>2</v>
      </c>
      <c r="BD150">
        <v>0</v>
      </c>
      <c r="BE150">
        <v>0</v>
      </c>
      <c r="BF150">
        <v>2</v>
      </c>
      <c r="BG150">
        <v>0</v>
      </c>
      <c r="BH150">
        <v>2</v>
      </c>
      <c r="BI150">
        <v>0</v>
      </c>
      <c r="BJ150">
        <v>2</v>
      </c>
      <c r="BK150">
        <v>0</v>
      </c>
      <c r="BL150">
        <v>2</v>
      </c>
      <c r="BM150">
        <v>2</v>
      </c>
      <c r="BN150">
        <v>2</v>
      </c>
      <c r="BO150">
        <v>2</v>
      </c>
      <c r="BP150">
        <v>2</v>
      </c>
      <c r="BQ150">
        <v>2</v>
      </c>
      <c r="BR150">
        <v>2</v>
      </c>
      <c r="BS150">
        <v>2</v>
      </c>
      <c r="BT150">
        <v>2</v>
      </c>
      <c r="BU150">
        <v>2</v>
      </c>
      <c r="BV150">
        <v>2</v>
      </c>
      <c r="BW150">
        <v>2</v>
      </c>
      <c r="BX150">
        <v>2</v>
      </c>
      <c r="BY150">
        <v>2</v>
      </c>
      <c r="BZ150">
        <v>2</v>
      </c>
      <c r="CA150">
        <v>2</v>
      </c>
      <c r="CB150">
        <v>2</v>
      </c>
      <c r="CC150">
        <v>2</v>
      </c>
      <c r="CD150">
        <v>2</v>
      </c>
    </row>
    <row r="151" spans="1:82" x14ac:dyDescent="0.3">
      <c r="A151" s="155">
        <v>578</v>
      </c>
      <c r="B151" t="s">
        <v>892</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262241</v>
      </c>
      <c r="AT151">
        <v>0</v>
      </c>
      <c r="AU151">
        <v>0</v>
      </c>
      <c r="AV151">
        <v>0</v>
      </c>
      <c r="AW151">
        <v>0</v>
      </c>
      <c r="AX151">
        <v>0</v>
      </c>
      <c r="AY151">
        <v>0</v>
      </c>
      <c r="AZ151">
        <v>0</v>
      </c>
      <c r="BA151">
        <v>0</v>
      </c>
      <c r="BB151">
        <v>0</v>
      </c>
      <c r="BC151">
        <v>0</v>
      </c>
      <c r="BD151">
        <v>0</v>
      </c>
      <c r="BE151">
        <v>4689</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45436</v>
      </c>
      <c r="CC151">
        <v>0</v>
      </c>
      <c r="CD151">
        <v>0</v>
      </c>
    </row>
    <row r="152" spans="1:82" x14ac:dyDescent="0.3">
      <c r="A152" s="155">
        <v>579</v>
      </c>
      <c r="B152" t="s">
        <v>893</v>
      </c>
      <c r="D152">
        <v>0</v>
      </c>
      <c r="E152">
        <v>0</v>
      </c>
      <c r="F152">
        <v>0</v>
      </c>
      <c r="G152">
        <v>0</v>
      </c>
      <c r="H152">
        <v>0</v>
      </c>
      <c r="I152">
        <v>0</v>
      </c>
      <c r="J152">
        <v>0</v>
      </c>
      <c r="K152">
        <v>0</v>
      </c>
      <c r="L152">
        <v>0</v>
      </c>
      <c r="M152">
        <v>0</v>
      </c>
      <c r="N152">
        <v>0</v>
      </c>
      <c r="O152">
        <v>0</v>
      </c>
      <c r="P152">
        <v>0</v>
      </c>
      <c r="Q152">
        <v>5559129</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41451</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56522</v>
      </c>
      <c r="CA152">
        <v>0</v>
      </c>
      <c r="CB152">
        <v>0</v>
      </c>
      <c r="CC152">
        <v>0</v>
      </c>
      <c r="CD152">
        <v>0</v>
      </c>
    </row>
    <row r="153" spans="1:82" x14ac:dyDescent="0.3">
      <c r="A153" s="155">
        <v>580</v>
      </c>
      <c r="B153" t="s">
        <v>894</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row>
    <row r="154" spans="1:82" x14ac:dyDescent="0.3">
      <c r="A154" s="155">
        <v>581</v>
      </c>
      <c r="B154" t="s">
        <v>895</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1800000</v>
      </c>
      <c r="BQ154">
        <v>0</v>
      </c>
      <c r="BR154">
        <v>0</v>
      </c>
      <c r="BS154">
        <v>0</v>
      </c>
      <c r="BT154">
        <v>0</v>
      </c>
      <c r="BU154">
        <v>0</v>
      </c>
      <c r="BV154">
        <v>0</v>
      </c>
      <c r="BW154">
        <v>0</v>
      </c>
      <c r="BX154">
        <v>0</v>
      </c>
      <c r="BY154">
        <v>0</v>
      </c>
      <c r="BZ154">
        <v>128064</v>
      </c>
      <c r="CA154">
        <v>0</v>
      </c>
      <c r="CB154">
        <v>0</v>
      </c>
      <c r="CC154">
        <v>0</v>
      </c>
      <c r="CD154">
        <v>0</v>
      </c>
    </row>
    <row r="155" spans="1:82" x14ac:dyDescent="0.3">
      <c r="A155" s="155">
        <v>586</v>
      </c>
      <c r="B155" t="s">
        <v>896</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358000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row>
    <row r="156" spans="1:82" x14ac:dyDescent="0.3">
      <c r="A156" s="155">
        <v>590</v>
      </c>
      <c r="B156" t="s">
        <v>1579</v>
      </c>
      <c r="D156" t="s">
        <v>1581</v>
      </c>
      <c r="E156" t="s">
        <v>1581</v>
      </c>
      <c r="G156" t="s">
        <v>1581</v>
      </c>
      <c r="K156" t="s">
        <v>1580</v>
      </c>
      <c r="Q156" t="s">
        <v>2058</v>
      </c>
      <c r="AI156" t="s">
        <v>2059</v>
      </c>
      <c r="AT156" t="s">
        <v>1580</v>
      </c>
      <c r="AX156" t="s">
        <v>1580</v>
      </c>
      <c r="BA156" t="s">
        <v>2060</v>
      </c>
      <c r="BL156" t="s">
        <v>2061</v>
      </c>
      <c r="BS156" t="s">
        <v>1580</v>
      </c>
    </row>
    <row r="157" spans="1:82" x14ac:dyDescent="0.3">
      <c r="A157" s="155">
        <v>591</v>
      </c>
      <c r="B157" t="s">
        <v>327</v>
      </c>
      <c r="D157">
        <v>384145</v>
      </c>
      <c r="E157">
        <v>1584704</v>
      </c>
      <c r="F157">
        <v>0</v>
      </c>
      <c r="G157">
        <v>1787380</v>
      </c>
      <c r="H157">
        <v>471282</v>
      </c>
      <c r="I157">
        <v>181006</v>
      </c>
      <c r="J157">
        <v>0</v>
      </c>
      <c r="K157">
        <v>556054</v>
      </c>
      <c r="L157">
        <v>10445095</v>
      </c>
      <c r="M157">
        <v>49517210</v>
      </c>
      <c r="N157">
        <v>0</v>
      </c>
      <c r="O157">
        <v>0</v>
      </c>
      <c r="P157">
        <v>201557</v>
      </c>
      <c r="Q157">
        <v>12091691</v>
      </c>
      <c r="R157">
        <v>0</v>
      </c>
      <c r="S157">
        <v>1009945</v>
      </c>
      <c r="T157">
        <v>1446374</v>
      </c>
      <c r="U157">
        <v>226329</v>
      </c>
      <c r="V157">
        <v>3628933</v>
      </c>
      <c r="W157">
        <v>0</v>
      </c>
      <c r="X157">
        <v>790125</v>
      </c>
      <c r="Y157">
        <v>0</v>
      </c>
      <c r="Z157">
        <v>17266881</v>
      </c>
      <c r="AA157">
        <v>154902</v>
      </c>
      <c r="AB157">
        <v>300651</v>
      </c>
      <c r="AC157">
        <v>0</v>
      </c>
      <c r="AD157">
        <v>0</v>
      </c>
      <c r="AE157">
        <v>0</v>
      </c>
      <c r="AF157">
        <v>123942846</v>
      </c>
      <c r="AG157">
        <v>255</v>
      </c>
      <c r="AH157">
        <v>218378</v>
      </c>
      <c r="AI157">
        <v>3480076</v>
      </c>
      <c r="AJ157">
        <v>85345</v>
      </c>
      <c r="AK157">
        <v>74490</v>
      </c>
      <c r="AL157">
        <v>16843658</v>
      </c>
      <c r="AM157">
        <v>376705</v>
      </c>
      <c r="AN157">
        <v>7675524</v>
      </c>
      <c r="AO157">
        <v>0</v>
      </c>
      <c r="AP157">
        <v>9562607</v>
      </c>
      <c r="AQ157">
        <v>0</v>
      </c>
      <c r="AR157">
        <v>0</v>
      </c>
      <c r="AS157">
        <v>993037</v>
      </c>
      <c r="AT157">
        <v>431157</v>
      </c>
      <c r="AU157">
        <v>260346851</v>
      </c>
      <c r="AV157">
        <v>272898222</v>
      </c>
      <c r="AW157">
        <v>1229232</v>
      </c>
      <c r="AX157">
        <v>535520</v>
      </c>
      <c r="AY157">
        <v>575262</v>
      </c>
      <c r="AZ157">
        <v>325425</v>
      </c>
      <c r="BA157">
        <v>728392</v>
      </c>
      <c r="BB157">
        <v>3435540</v>
      </c>
      <c r="BC157">
        <v>322440</v>
      </c>
      <c r="BD157">
        <v>0</v>
      </c>
      <c r="BE157">
        <v>0</v>
      </c>
      <c r="BF157">
        <v>9731838</v>
      </c>
      <c r="BG157">
        <v>0</v>
      </c>
      <c r="BH157">
        <v>8037183</v>
      </c>
      <c r="BI157">
        <v>0</v>
      </c>
      <c r="BJ157">
        <v>0</v>
      </c>
      <c r="BK157">
        <v>0</v>
      </c>
      <c r="BL157">
        <v>14542020</v>
      </c>
      <c r="BM157">
        <v>24393797</v>
      </c>
      <c r="BN157">
        <v>6895278</v>
      </c>
      <c r="BO157">
        <v>36937731</v>
      </c>
      <c r="BP157">
        <v>198330228</v>
      </c>
      <c r="BQ157">
        <v>293422</v>
      </c>
      <c r="BR157">
        <v>7500772</v>
      </c>
      <c r="BS157">
        <v>0</v>
      </c>
      <c r="BT157">
        <v>10170422</v>
      </c>
      <c r="BU157">
        <v>691766</v>
      </c>
      <c r="BV157">
        <v>109492</v>
      </c>
      <c r="BW157">
        <v>3741163</v>
      </c>
      <c r="BX157">
        <v>0</v>
      </c>
      <c r="BY157">
        <v>19427413</v>
      </c>
      <c r="BZ157">
        <v>1158667</v>
      </c>
      <c r="CA157">
        <v>0</v>
      </c>
      <c r="CB157">
        <v>347762</v>
      </c>
      <c r="CC157">
        <v>0</v>
      </c>
      <c r="CD157">
        <v>28143576</v>
      </c>
    </row>
    <row r="158" spans="1:82" x14ac:dyDescent="0.3">
      <c r="A158" s="155">
        <v>592</v>
      </c>
      <c r="B158" t="s">
        <v>328</v>
      </c>
      <c r="D158">
        <v>27173</v>
      </c>
      <c r="E158">
        <v>-210584</v>
      </c>
      <c r="F158">
        <v>0</v>
      </c>
      <c r="G158">
        <v>37739</v>
      </c>
      <c r="H158">
        <v>-43818</v>
      </c>
      <c r="I158">
        <v>-22651</v>
      </c>
      <c r="J158">
        <v>0</v>
      </c>
      <c r="K158">
        <v>-98987</v>
      </c>
      <c r="L158">
        <v>806193</v>
      </c>
      <c r="M158">
        <v>9910145</v>
      </c>
      <c r="N158">
        <v>0</v>
      </c>
      <c r="O158">
        <v>0</v>
      </c>
      <c r="P158">
        <v>398426</v>
      </c>
      <c r="Q158">
        <v>2502272</v>
      </c>
      <c r="R158">
        <v>0</v>
      </c>
      <c r="S158">
        <v>-33946</v>
      </c>
      <c r="T158">
        <v>1297094</v>
      </c>
      <c r="U158">
        <v>184331</v>
      </c>
      <c r="V158">
        <v>1478348</v>
      </c>
      <c r="W158">
        <v>0</v>
      </c>
      <c r="X158">
        <v>17229</v>
      </c>
      <c r="Y158">
        <v>0</v>
      </c>
      <c r="Z158">
        <v>15475062</v>
      </c>
      <c r="AA158">
        <v>-47844</v>
      </c>
      <c r="AB158">
        <v>83937</v>
      </c>
      <c r="AC158">
        <v>0</v>
      </c>
      <c r="AD158">
        <v>0</v>
      </c>
      <c r="AE158">
        <v>0</v>
      </c>
      <c r="AF158">
        <v>14623060</v>
      </c>
      <c r="AG158">
        <v>-255</v>
      </c>
      <c r="AH158">
        <v>-96586</v>
      </c>
      <c r="AI158">
        <v>711854</v>
      </c>
      <c r="AJ158">
        <v>-61958</v>
      </c>
      <c r="AK158">
        <v>26753</v>
      </c>
      <c r="AL158">
        <v>4907119</v>
      </c>
      <c r="AM158">
        <v>-66665</v>
      </c>
      <c r="AN158">
        <v>3313178</v>
      </c>
      <c r="AO158">
        <v>0</v>
      </c>
      <c r="AP158">
        <v>-37735</v>
      </c>
      <c r="AQ158">
        <v>0</v>
      </c>
      <c r="AR158">
        <v>0</v>
      </c>
      <c r="AS158">
        <v>285388</v>
      </c>
      <c r="AT158">
        <v>812575</v>
      </c>
      <c r="AU158">
        <v>14125080</v>
      </c>
      <c r="AV158">
        <v>31338841</v>
      </c>
      <c r="AW158">
        <v>514951</v>
      </c>
      <c r="AX158">
        <v>-161461</v>
      </c>
      <c r="AY158">
        <v>-68283</v>
      </c>
      <c r="AZ158">
        <v>47026</v>
      </c>
      <c r="BA158">
        <v>-147413</v>
      </c>
      <c r="BB158">
        <v>-81010</v>
      </c>
      <c r="BC158">
        <v>-103676</v>
      </c>
      <c r="BD158">
        <v>0</v>
      </c>
      <c r="BE158">
        <v>-4847</v>
      </c>
      <c r="BF158">
        <v>3887606</v>
      </c>
      <c r="BG158">
        <v>0</v>
      </c>
      <c r="BH158">
        <v>531856</v>
      </c>
      <c r="BI158">
        <v>0</v>
      </c>
      <c r="BJ158">
        <v>0</v>
      </c>
      <c r="BK158">
        <v>0</v>
      </c>
      <c r="BL158">
        <v>4778189</v>
      </c>
      <c r="BM158">
        <v>2333477</v>
      </c>
      <c r="BN158">
        <v>-154024</v>
      </c>
      <c r="BO158">
        <v>4182267</v>
      </c>
      <c r="BP158">
        <v>2936039</v>
      </c>
      <c r="BQ158">
        <v>102690</v>
      </c>
      <c r="BR158">
        <v>1771106</v>
      </c>
      <c r="BS158">
        <v>0</v>
      </c>
      <c r="BT158">
        <v>2627414</v>
      </c>
      <c r="BU158">
        <v>6411</v>
      </c>
      <c r="BV158">
        <v>77035</v>
      </c>
      <c r="BW158">
        <v>17256</v>
      </c>
      <c r="BX158">
        <v>0</v>
      </c>
      <c r="BY158">
        <v>25032678</v>
      </c>
      <c r="BZ158">
        <v>557371</v>
      </c>
      <c r="CA158">
        <v>0</v>
      </c>
      <c r="CB158">
        <v>218114</v>
      </c>
      <c r="CC158">
        <v>0</v>
      </c>
      <c r="CD158">
        <v>751083</v>
      </c>
    </row>
    <row r="159" spans="1:82" x14ac:dyDescent="0.3">
      <c r="A159" s="155">
        <v>596</v>
      </c>
      <c r="B159" t="s">
        <v>333</v>
      </c>
      <c r="D159">
        <v>52</v>
      </c>
      <c r="E159">
        <v>52</v>
      </c>
      <c r="F159">
        <v>0</v>
      </c>
      <c r="G159">
        <v>52</v>
      </c>
      <c r="H159">
        <v>52</v>
      </c>
      <c r="I159">
        <v>52</v>
      </c>
      <c r="J159">
        <v>52</v>
      </c>
      <c r="K159">
        <v>52</v>
      </c>
      <c r="L159">
        <v>52</v>
      </c>
      <c r="M159">
        <v>52</v>
      </c>
      <c r="N159">
        <v>0</v>
      </c>
      <c r="O159">
        <v>52</v>
      </c>
      <c r="P159">
        <v>52</v>
      </c>
      <c r="Q159">
        <v>52</v>
      </c>
      <c r="R159">
        <v>52</v>
      </c>
      <c r="S159">
        <v>52</v>
      </c>
      <c r="T159">
        <v>52</v>
      </c>
      <c r="U159">
        <v>52</v>
      </c>
      <c r="V159">
        <v>52</v>
      </c>
      <c r="W159">
        <v>0</v>
      </c>
      <c r="X159">
        <v>52</v>
      </c>
      <c r="Y159">
        <v>52</v>
      </c>
      <c r="Z159">
        <v>52</v>
      </c>
      <c r="AA159">
        <v>52</v>
      </c>
      <c r="AB159">
        <v>52</v>
      </c>
      <c r="AC159">
        <v>52</v>
      </c>
      <c r="AD159">
        <v>0</v>
      </c>
      <c r="AE159">
        <v>0</v>
      </c>
      <c r="AF159">
        <v>52</v>
      </c>
      <c r="AG159">
        <v>52</v>
      </c>
      <c r="AH159">
        <v>52</v>
      </c>
      <c r="AI159">
        <v>52</v>
      </c>
      <c r="AJ159">
        <v>52</v>
      </c>
      <c r="AK159">
        <v>52</v>
      </c>
      <c r="AL159">
        <v>52</v>
      </c>
      <c r="AM159">
        <v>52</v>
      </c>
      <c r="AN159">
        <v>52</v>
      </c>
      <c r="AO159">
        <v>52</v>
      </c>
      <c r="AP159">
        <v>52</v>
      </c>
      <c r="AQ159">
        <v>52</v>
      </c>
      <c r="AR159">
        <v>52</v>
      </c>
      <c r="AS159">
        <v>52</v>
      </c>
      <c r="AT159">
        <v>52</v>
      </c>
      <c r="AU159">
        <v>52</v>
      </c>
      <c r="AV159">
        <v>52</v>
      </c>
      <c r="AW159">
        <v>52</v>
      </c>
      <c r="AX159">
        <v>52</v>
      </c>
      <c r="AY159">
        <v>52</v>
      </c>
      <c r="AZ159">
        <v>52</v>
      </c>
      <c r="BA159">
        <v>52</v>
      </c>
      <c r="BB159">
        <v>52</v>
      </c>
      <c r="BC159">
        <v>52</v>
      </c>
      <c r="BD159">
        <v>52</v>
      </c>
      <c r="BE159">
        <v>52</v>
      </c>
      <c r="BF159">
        <v>52</v>
      </c>
      <c r="BG159">
        <v>0</v>
      </c>
      <c r="BH159">
        <v>52</v>
      </c>
      <c r="BI159">
        <v>52</v>
      </c>
      <c r="BJ159">
        <v>52</v>
      </c>
      <c r="BK159">
        <v>0</v>
      </c>
      <c r="BL159">
        <v>52</v>
      </c>
      <c r="BM159">
        <v>52</v>
      </c>
      <c r="BN159">
        <v>52</v>
      </c>
      <c r="BO159">
        <v>52</v>
      </c>
      <c r="BP159">
        <v>52</v>
      </c>
      <c r="BQ159">
        <v>52</v>
      </c>
      <c r="BR159">
        <v>52</v>
      </c>
      <c r="BS159">
        <v>51</v>
      </c>
      <c r="BT159">
        <v>52</v>
      </c>
      <c r="BU159">
        <v>52</v>
      </c>
      <c r="BV159">
        <v>52</v>
      </c>
      <c r="BW159">
        <v>52</v>
      </c>
      <c r="BX159">
        <v>0</v>
      </c>
      <c r="BY159">
        <v>52</v>
      </c>
      <c r="BZ159">
        <v>52</v>
      </c>
      <c r="CA159">
        <v>52</v>
      </c>
      <c r="CB159">
        <v>52</v>
      </c>
      <c r="CC159">
        <v>0</v>
      </c>
      <c r="CD159">
        <v>52</v>
      </c>
    </row>
    <row r="160" spans="1:82" x14ac:dyDescent="0.3">
      <c r="A160" s="155">
        <v>597</v>
      </c>
      <c r="B160" t="s">
        <v>336</v>
      </c>
      <c r="D160">
        <v>754</v>
      </c>
      <c r="E160">
        <v>0</v>
      </c>
      <c r="F160">
        <v>983</v>
      </c>
      <c r="G160">
        <v>9398</v>
      </c>
      <c r="H160">
        <v>3606</v>
      </c>
      <c r="I160">
        <v>0</v>
      </c>
      <c r="J160">
        <v>374</v>
      </c>
      <c r="K160">
        <v>1100</v>
      </c>
      <c r="L160">
        <v>5277</v>
      </c>
      <c r="M160">
        <v>832687</v>
      </c>
      <c r="N160">
        <v>4864</v>
      </c>
      <c r="O160">
        <v>0</v>
      </c>
      <c r="P160">
        <v>0</v>
      </c>
      <c r="Q160">
        <v>19622</v>
      </c>
      <c r="R160">
        <v>221</v>
      </c>
      <c r="S160">
        <v>980</v>
      </c>
      <c r="T160">
        <v>4917</v>
      </c>
      <c r="U160">
        <v>0</v>
      </c>
      <c r="V160">
        <v>17271</v>
      </c>
      <c r="W160">
        <v>1075</v>
      </c>
      <c r="X160">
        <v>36970</v>
      </c>
      <c r="Y160">
        <v>879</v>
      </c>
      <c r="Z160">
        <v>100373</v>
      </c>
      <c r="AA160">
        <v>5324</v>
      </c>
      <c r="AB160">
        <v>611</v>
      </c>
      <c r="AC160">
        <v>-133578</v>
      </c>
      <c r="AD160">
        <v>484</v>
      </c>
      <c r="AE160">
        <v>1291</v>
      </c>
      <c r="AF160">
        <v>421966</v>
      </c>
      <c r="AG160">
        <v>829</v>
      </c>
      <c r="AH160">
        <v>602</v>
      </c>
      <c r="AI160">
        <v>7503</v>
      </c>
      <c r="AJ160">
        <v>4</v>
      </c>
      <c r="AK160">
        <v>0</v>
      </c>
      <c r="AL160">
        <v>42021</v>
      </c>
      <c r="AM160">
        <v>0</v>
      </c>
      <c r="AN160">
        <v>30613</v>
      </c>
      <c r="AO160">
        <v>31</v>
      </c>
      <c r="AP160">
        <v>9068</v>
      </c>
      <c r="AQ160">
        <v>10157</v>
      </c>
      <c r="AR160">
        <v>1152</v>
      </c>
      <c r="AS160">
        <v>2377</v>
      </c>
      <c r="AT160">
        <v>1628</v>
      </c>
      <c r="AU160">
        <v>-14458728</v>
      </c>
      <c r="AV160">
        <v>-298088</v>
      </c>
      <c r="AW160">
        <v>1451</v>
      </c>
      <c r="AX160">
        <v>602</v>
      </c>
      <c r="AY160">
        <v>0</v>
      </c>
      <c r="AZ160">
        <v>12</v>
      </c>
      <c r="BA160">
        <v>1816</v>
      </c>
      <c r="BB160">
        <v>13196</v>
      </c>
      <c r="BC160">
        <v>1589</v>
      </c>
      <c r="BD160">
        <v>50</v>
      </c>
      <c r="BE160">
        <v>0</v>
      </c>
      <c r="BF160">
        <v>35890</v>
      </c>
      <c r="BG160">
        <v>2</v>
      </c>
      <c r="BH160">
        <v>-238469</v>
      </c>
      <c r="BI160">
        <v>3442</v>
      </c>
      <c r="BJ160">
        <v>0</v>
      </c>
      <c r="BK160">
        <v>961</v>
      </c>
      <c r="BL160">
        <v>84929</v>
      </c>
      <c r="BM160">
        <v>-63864</v>
      </c>
      <c r="BN160">
        <v>1418</v>
      </c>
      <c r="BO160">
        <v>0</v>
      </c>
      <c r="BP160">
        <v>-7376157</v>
      </c>
      <c r="BQ160">
        <v>2946</v>
      </c>
      <c r="BR160">
        <v>92959</v>
      </c>
      <c r="BS160">
        <v>1477</v>
      </c>
      <c r="BT160">
        <v>49125</v>
      </c>
      <c r="BU160">
        <v>0</v>
      </c>
      <c r="BV160">
        <v>1545</v>
      </c>
      <c r="BW160">
        <v>36093</v>
      </c>
      <c r="BX160">
        <v>1967</v>
      </c>
      <c r="BY160">
        <v>1031689</v>
      </c>
      <c r="BZ160">
        <v>1676</v>
      </c>
      <c r="CA160">
        <v>24684</v>
      </c>
      <c r="CB160">
        <v>0</v>
      </c>
      <c r="CC160">
        <v>31151</v>
      </c>
      <c r="CD160">
        <v>155825</v>
      </c>
    </row>
    <row r="161" spans="1:82" x14ac:dyDescent="0.3">
      <c r="A161" s="155">
        <v>598</v>
      </c>
      <c r="B161" t="s">
        <v>341</v>
      </c>
      <c r="D161">
        <v>0</v>
      </c>
      <c r="E161">
        <v>0</v>
      </c>
      <c r="F161">
        <v>0</v>
      </c>
      <c r="G161">
        <v>0</v>
      </c>
      <c r="H161">
        <v>0</v>
      </c>
      <c r="I161">
        <v>0</v>
      </c>
      <c r="J161">
        <v>0</v>
      </c>
      <c r="K161">
        <v>0</v>
      </c>
      <c r="L161">
        <v>60060</v>
      </c>
      <c r="M161">
        <v>1195468</v>
      </c>
      <c r="N161">
        <v>0</v>
      </c>
      <c r="O161">
        <v>8576</v>
      </c>
      <c r="P161">
        <v>0</v>
      </c>
      <c r="Q161">
        <v>54376</v>
      </c>
      <c r="R161">
        <v>0</v>
      </c>
      <c r="S161">
        <v>0</v>
      </c>
      <c r="T161">
        <v>0</v>
      </c>
      <c r="U161">
        <v>0</v>
      </c>
      <c r="V161">
        <v>59004</v>
      </c>
      <c r="W161">
        <v>27602</v>
      </c>
      <c r="X161">
        <v>0</v>
      </c>
      <c r="Y161">
        <v>19583</v>
      </c>
      <c r="Z161">
        <v>62993</v>
      </c>
      <c r="AA161">
        <v>0</v>
      </c>
      <c r="AB161">
        <v>0</v>
      </c>
      <c r="AC161">
        <v>345531</v>
      </c>
      <c r="AD161">
        <v>0</v>
      </c>
      <c r="AE161">
        <v>6982</v>
      </c>
      <c r="AF161">
        <v>1816786</v>
      </c>
      <c r="AG161">
        <v>0</v>
      </c>
      <c r="AH161">
        <v>0</v>
      </c>
      <c r="AI161">
        <v>4382</v>
      </c>
      <c r="AJ161">
        <v>0</v>
      </c>
      <c r="AK161">
        <v>0</v>
      </c>
      <c r="AL161">
        <v>232945</v>
      </c>
      <c r="AM161">
        <v>0</v>
      </c>
      <c r="AN161">
        <v>54302</v>
      </c>
      <c r="AO161">
        <v>0</v>
      </c>
      <c r="AP161">
        <v>4934</v>
      </c>
      <c r="AQ161">
        <v>0</v>
      </c>
      <c r="AR161">
        <v>0</v>
      </c>
      <c r="AS161">
        <v>0</v>
      </c>
      <c r="AT161">
        <v>0</v>
      </c>
      <c r="AU161">
        <v>2987228</v>
      </c>
      <c r="AV161">
        <v>686225</v>
      </c>
      <c r="AW161">
        <v>0</v>
      </c>
      <c r="AX161">
        <v>0</v>
      </c>
      <c r="AY161">
        <v>0</v>
      </c>
      <c r="AZ161">
        <v>0</v>
      </c>
      <c r="BA161">
        <v>0</v>
      </c>
      <c r="BB161">
        <v>38439</v>
      </c>
      <c r="BC161">
        <v>0</v>
      </c>
      <c r="BD161">
        <v>0</v>
      </c>
      <c r="BE161">
        <v>0</v>
      </c>
      <c r="BF161">
        <v>0</v>
      </c>
      <c r="BG161">
        <v>0</v>
      </c>
      <c r="BH161">
        <v>35484</v>
      </c>
      <c r="BI161">
        <v>32355</v>
      </c>
      <c r="BJ161">
        <v>0</v>
      </c>
      <c r="BK161">
        <v>0</v>
      </c>
      <c r="BL161">
        <v>114249</v>
      </c>
      <c r="BM161">
        <v>56568</v>
      </c>
      <c r="BN161">
        <v>0</v>
      </c>
      <c r="BO161">
        <v>236042</v>
      </c>
      <c r="BP161">
        <v>1084624</v>
      </c>
      <c r="BQ161">
        <v>0</v>
      </c>
      <c r="BR161">
        <v>37024</v>
      </c>
      <c r="BS161">
        <v>0</v>
      </c>
      <c r="BT161">
        <v>25494</v>
      </c>
      <c r="BU161">
        <v>0</v>
      </c>
      <c r="BV161">
        <v>0</v>
      </c>
      <c r="BW161">
        <v>13335</v>
      </c>
      <c r="BX161">
        <v>0</v>
      </c>
      <c r="BY161">
        <v>55596</v>
      </c>
      <c r="BZ161">
        <v>0</v>
      </c>
      <c r="CA161">
        <v>25251</v>
      </c>
      <c r="CB161">
        <v>0</v>
      </c>
      <c r="CC161">
        <v>16224</v>
      </c>
      <c r="CD161">
        <v>33010</v>
      </c>
    </row>
    <row r="162" spans="1:82" x14ac:dyDescent="0.3">
      <c r="A162" s="155">
        <v>599</v>
      </c>
      <c r="B162" t="s">
        <v>340</v>
      </c>
      <c r="D162">
        <v>70694</v>
      </c>
      <c r="E162">
        <v>207932</v>
      </c>
      <c r="F162">
        <v>0</v>
      </c>
      <c r="G162">
        <v>0</v>
      </c>
      <c r="H162">
        <v>0</v>
      </c>
      <c r="I162">
        <v>0</v>
      </c>
      <c r="J162">
        <v>0</v>
      </c>
      <c r="K162">
        <v>0</v>
      </c>
      <c r="L162">
        <v>872008</v>
      </c>
      <c r="M162">
        <v>21729345</v>
      </c>
      <c r="N162">
        <v>0</v>
      </c>
      <c r="O162">
        <v>461017</v>
      </c>
      <c r="P162">
        <v>0</v>
      </c>
      <c r="Q162">
        <v>1416089</v>
      </c>
      <c r="R162">
        <v>0</v>
      </c>
      <c r="S162">
        <v>0</v>
      </c>
      <c r="T162">
        <v>152745</v>
      </c>
      <c r="U162">
        <v>108235</v>
      </c>
      <c r="V162">
        <v>1359037</v>
      </c>
      <c r="W162">
        <v>183667</v>
      </c>
      <c r="X162">
        <v>0</v>
      </c>
      <c r="Y162">
        <v>181061</v>
      </c>
      <c r="Z162">
        <v>1955864</v>
      </c>
      <c r="AA162">
        <v>0</v>
      </c>
      <c r="AB162">
        <v>0</v>
      </c>
      <c r="AC162">
        <v>4415901</v>
      </c>
      <c r="AD162">
        <v>0</v>
      </c>
      <c r="AE162">
        <v>74708</v>
      </c>
      <c r="AF162">
        <v>24212812</v>
      </c>
      <c r="AG162">
        <v>0</v>
      </c>
      <c r="AH162">
        <v>0</v>
      </c>
      <c r="AI162">
        <v>511010</v>
      </c>
      <c r="AJ162">
        <v>75724</v>
      </c>
      <c r="AK162">
        <v>0</v>
      </c>
      <c r="AL162">
        <v>4865974</v>
      </c>
      <c r="AM162">
        <v>0</v>
      </c>
      <c r="AN162">
        <v>1898894</v>
      </c>
      <c r="AO162">
        <v>0</v>
      </c>
      <c r="AP162">
        <v>553162</v>
      </c>
      <c r="AQ162">
        <v>263107</v>
      </c>
      <c r="AR162">
        <v>0</v>
      </c>
      <c r="AS162">
        <v>0</v>
      </c>
      <c r="AT162">
        <v>0</v>
      </c>
      <c r="AU162">
        <v>36020258</v>
      </c>
      <c r="AV162">
        <v>11178551</v>
      </c>
      <c r="AW162">
        <v>108818</v>
      </c>
      <c r="AX162">
        <v>0</v>
      </c>
      <c r="AY162">
        <v>0</v>
      </c>
      <c r="AZ162">
        <v>0</v>
      </c>
      <c r="BA162">
        <v>0</v>
      </c>
      <c r="BB162">
        <v>557081</v>
      </c>
      <c r="BC162">
        <v>0</v>
      </c>
      <c r="BD162">
        <v>0</v>
      </c>
      <c r="BE162">
        <v>0</v>
      </c>
      <c r="BF162">
        <v>0</v>
      </c>
      <c r="BG162">
        <v>0</v>
      </c>
      <c r="BH162">
        <v>481083</v>
      </c>
      <c r="BI162">
        <v>300873</v>
      </c>
      <c r="BJ162">
        <v>0</v>
      </c>
      <c r="BK162">
        <v>0</v>
      </c>
      <c r="BL162">
        <v>1721146</v>
      </c>
      <c r="BM162">
        <v>1667006</v>
      </c>
      <c r="BN162">
        <v>0</v>
      </c>
      <c r="BO162">
        <v>5237111</v>
      </c>
      <c r="BP162">
        <v>18516793</v>
      </c>
      <c r="BQ162">
        <v>0</v>
      </c>
      <c r="BR162">
        <v>455296</v>
      </c>
      <c r="BS162">
        <v>0</v>
      </c>
      <c r="BT162">
        <v>1172974</v>
      </c>
      <c r="BU162">
        <v>0</v>
      </c>
      <c r="BV162">
        <v>0</v>
      </c>
      <c r="BW162">
        <v>434258</v>
      </c>
      <c r="BX162">
        <v>280568</v>
      </c>
      <c r="BY162">
        <v>3461719</v>
      </c>
      <c r="BZ162">
        <v>0</v>
      </c>
      <c r="CA162">
        <v>835249</v>
      </c>
      <c r="CB162">
        <v>0</v>
      </c>
      <c r="CC162">
        <v>471569</v>
      </c>
      <c r="CD162">
        <v>5140581</v>
      </c>
    </row>
    <row r="163" spans="1:82" x14ac:dyDescent="0.3">
      <c r="A163" s="155">
        <v>602</v>
      </c>
      <c r="B163" t="s">
        <v>342</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9285280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row>
    <row r="164" spans="1:82" x14ac:dyDescent="0.3">
      <c r="A164" s="155">
        <v>606</v>
      </c>
      <c r="B164" t="s">
        <v>897</v>
      </c>
      <c r="D164">
        <v>1</v>
      </c>
      <c r="L164">
        <v>1</v>
      </c>
      <c r="M164">
        <v>1</v>
      </c>
      <c r="T164">
        <v>1</v>
      </c>
      <c r="Z164">
        <v>1</v>
      </c>
      <c r="AC164">
        <v>1</v>
      </c>
      <c r="AF164">
        <v>1</v>
      </c>
      <c r="AI164">
        <v>1</v>
      </c>
      <c r="AL164">
        <v>1</v>
      </c>
      <c r="AN164">
        <v>1</v>
      </c>
      <c r="AR164">
        <v>1</v>
      </c>
      <c r="AT164">
        <v>1</v>
      </c>
      <c r="AU164">
        <v>1</v>
      </c>
      <c r="AV164">
        <v>1</v>
      </c>
      <c r="AW164">
        <v>1</v>
      </c>
      <c r="BF164">
        <v>1</v>
      </c>
      <c r="BH164">
        <v>1</v>
      </c>
      <c r="BM164">
        <v>1</v>
      </c>
      <c r="BN164">
        <v>1</v>
      </c>
      <c r="BO164">
        <v>1</v>
      </c>
      <c r="BP164">
        <v>1</v>
      </c>
      <c r="BW164">
        <v>1</v>
      </c>
      <c r="BX164">
        <v>1</v>
      </c>
      <c r="BY164">
        <v>1</v>
      </c>
      <c r="CD164">
        <v>1</v>
      </c>
    </row>
    <row r="165" spans="1:82" x14ac:dyDescent="0.3">
      <c r="A165" s="155">
        <v>619</v>
      </c>
      <c r="B165" t="s">
        <v>898</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25.8</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row>
    <row r="166" spans="1:82" x14ac:dyDescent="0.3">
      <c r="A166" s="155">
        <v>620</v>
      </c>
      <c r="B166" t="s">
        <v>899</v>
      </c>
      <c r="D166">
        <v>2</v>
      </c>
      <c r="E166">
        <v>2</v>
      </c>
      <c r="F166">
        <v>2</v>
      </c>
      <c r="G166">
        <v>2</v>
      </c>
      <c r="H166">
        <v>0</v>
      </c>
      <c r="I166">
        <v>2</v>
      </c>
      <c r="J166">
        <v>2</v>
      </c>
      <c r="K166">
        <v>2</v>
      </c>
      <c r="L166">
        <v>2</v>
      </c>
      <c r="M166">
        <v>1</v>
      </c>
      <c r="N166">
        <v>2</v>
      </c>
      <c r="O166">
        <v>2</v>
      </c>
      <c r="P166">
        <v>2</v>
      </c>
      <c r="Q166">
        <v>2</v>
      </c>
      <c r="R166">
        <v>2</v>
      </c>
      <c r="S166">
        <v>2</v>
      </c>
      <c r="T166">
        <v>2</v>
      </c>
      <c r="U166">
        <v>2</v>
      </c>
      <c r="V166">
        <v>1</v>
      </c>
      <c r="W166">
        <v>2</v>
      </c>
      <c r="X166">
        <v>1</v>
      </c>
      <c r="Y166">
        <v>2</v>
      </c>
      <c r="Z166">
        <v>1</v>
      </c>
      <c r="AA166">
        <v>2</v>
      </c>
      <c r="AB166">
        <v>2</v>
      </c>
      <c r="AC166">
        <v>2</v>
      </c>
      <c r="AD166">
        <v>0</v>
      </c>
      <c r="AE166">
        <v>2</v>
      </c>
      <c r="AF166">
        <v>1</v>
      </c>
      <c r="AG166">
        <v>2</v>
      </c>
      <c r="AH166">
        <v>2</v>
      </c>
      <c r="AI166">
        <v>2</v>
      </c>
      <c r="AJ166">
        <v>2</v>
      </c>
      <c r="AK166">
        <v>1</v>
      </c>
      <c r="AL166">
        <v>1</v>
      </c>
      <c r="AM166">
        <v>2</v>
      </c>
      <c r="AN166">
        <v>2</v>
      </c>
      <c r="AO166">
        <v>2</v>
      </c>
      <c r="AP166">
        <v>2</v>
      </c>
      <c r="AQ166">
        <v>2</v>
      </c>
      <c r="AR166">
        <v>2</v>
      </c>
      <c r="AS166">
        <v>2</v>
      </c>
      <c r="AT166">
        <v>2</v>
      </c>
      <c r="AU166">
        <v>1</v>
      </c>
      <c r="AV166">
        <v>1</v>
      </c>
      <c r="AW166">
        <v>2</v>
      </c>
      <c r="AX166">
        <v>2</v>
      </c>
      <c r="AY166">
        <v>2</v>
      </c>
      <c r="AZ166">
        <v>2</v>
      </c>
      <c r="BA166">
        <v>2</v>
      </c>
      <c r="BB166">
        <v>2</v>
      </c>
      <c r="BC166">
        <v>2</v>
      </c>
      <c r="BD166">
        <v>2</v>
      </c>
      <c r="BE166">
        <v>2</v>
      </c>
      <c r="BF166">
        <v>2</v>
      </c>
      <c r="BG166">
        <v>2</v>
      </c>
      <c r="BH166">
        <v>2</v>
      </c>
      <c r="BI166">
        <v>2</v>
      </c>
      <c r="BJ166">
        <v>2</v>
      </c>
      <c r="BK166">
        <v>2</v>
      </c>
      <c r="BL166">
        <v>1</v>
      </c>
      <c r="BM166">
        <v>1</v>
      </c>
      <c r="BN166">
        <v>1</v>
      </c>
      <c r="BO166">
        <v>1</v>
      </c>
      <c r="BP166">
        <v>2</v>
      </c>
      <c r="BQ166">
        <v>2</v>
      </c>
      <c r="BR166">
        <v>1</v>
      </c>
      <c r="BS166">
        <v>2</v>
      </c>
      <c r="BT166">
        <v>2</v>
      </c>
      <c r="BU166">
        <v>2</v>
      </c>
      <c r="BV166">
        <v>2</v>
      </c>
      <c r="BW166">
        <v>1</v>
      </c>
      <c r="BX166">
        <v>2</v>
      </c>
      <c r="BY166">
        <v>2</v>
      </c>
      <c r="BZ166">
        <v>2</v>
      </c>
      <c r="CA166">
        <v>2</v>
      </c>
      <c r="CB166">
        <v>2</v>
      </c>
      <c r="CC166">
        <v>2</v>
      </c>
      <c r="CD166">
        <v>2</v>
      </c>
    </row>
    <row r="167" spans="1:82" x14ac:dyDescent="0.3">
      <c r="A167" s="155">
        <v>621</v>
      </c>
      <c r="B167" t="s">
        <v>900</v>
      </c>
      <c r="D167">
        <v>0</v>
      </c>
      <c r="E167">
        <v>0</v>
      </c>
      <c r="F167">
        <v>0</v>
      </c>
      <c r="G167">
        <v>0</v>
      </c>
      <c r="H167">
        <v>0</v>
      </c>
      <c r="I167">
        <v>0</v>
      </c>
      <c r="J167">
        <v>0</v>
      </c>
      <c r="K167">
        <v>0</v>
      </c>
      <c r="L167">
        <v>0</v>
      </c>
      <c r="M167">
        <v>0</v>
      </c>
      <c r="N167">
        <v>0</v>
      </c>
      <c r="O167">
        <v>0</v>
      </c>
      <c r="P167">
        <v>0</v>
      </c>
      <c r="Q167">
        <v>12228422</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5297960</v>
      </c>
      <c r="BZ167">
        <v>0</v>
      </c>
      <c r="CA167">
        <v>0</v>
      </c>
      <c r="CB167">
        <v>0</v>
      </c>
      <c r="CC167">
        <v>0</v>
      </c>
      <c r="CD167">
        <v>0</v>
      </c>
    </row>
    <row r="168" spans="1:82" x14ac:dyDescent="0.3">
      <c r="A168" s="155">
        <v>622</v>
      </c>
      <c r="B168" t="s">
        <v>901</v>
      </c>
      <c r="D168">
        <v>25304</v>
      </c>
      <c r="E168">
        <v>95549</v>
      </c>
      <c r="F168">
        <v>0</v>
      </c>
      <c r="G168">
        <v>49995</v>
      </c>
      <c r="H168">
        <v>23777</v>
      </c>
      <c r="I168">
        <v>8230</v>
      </c>
      <c r="J168">
        <v>0</v>
      </c>
      <c r="K168">
        <v>0</v>
      </c>
      <c r="L168">
        <v>672943</v>
      </c>
      <c r="M168">
        <v>16708528</v>
      </c>
      <c r="N168">
        <v>33124</v>
      </c>
      <c r="O168">
        <v>421586</v>
      </c>
      <c r="P168">
        <v>0</v>
      </c>
      <c r="Q168">
        <v>1524394</v>
      </c>
      <c r="R168">
        <v>0</v>
      </c>
      <c r="S168">
        <v>0</v>
      </c>
      <c r="T168">
        <v>192313</v>
      </c>
      <c r="U168">
        <v>0</v>
      </c>
      <c r="V168">
        <v>536299</v>
      </c>
      <c r="W168">
        <v>125908</v>
      </c>
      <c r="X168">
        <v>0</v>
      </c>
      <c r="Y168">
        <v>131429</v>
      </c>
      <c r="Z168">
        <v>3513775</v>
      </c>
      <c r="AA168">
        <v>0</v>
      </c>
      <c r="AB168">
        <v>9202</v>
      </c>
      <c r="AC168">
        <v>2528745</v>
      </c>
      <c r="AD168">
        <v>37880</v>
      </c>
      <c r="AE168">
        <v>34199</v>
      </c>
      <c r="AF168">
        <v>9941229</v>
      </c>
      <c r="AG168">
        <v>0</v>
      </c>
      <c r="AH168">
        <v>9355</v>
      </c>
      <c r="AI168">
        <v>702081</v>
      </c>
      <c r="AJ168">
        <v>53676</v>
      </c>
      <c r="AK168">
        <v>0</v>
      </c>
      <c r="AL168">
        <v>4776385</v>
      </c>
      <c r="AM168">
        <v>0</v>
      </c>
      <c r="AN168">
        <v>1558134</v>
      </c>
      <c r="AO168">
        <v>0</v>
      </c>
      <c r="AP168">
        <v>647486</v>
      </c>
      <c r="AQ168">
        <v>190319</v>
      </c>
      <c r="AR168">
        <v>0</v>
      </c>
      <c r="AS168">
        <v>34659</v>
      </c>
      <c r="AT168">
        <v>0</v>
      </c>
      <c r="AU168">
        <v>35743062</v>
      </c>
      <c r="AV168">
        <v>9093304</v>
      </c>
      <c r="AW168">
        <v>144005</v>
      </c>
      <c r="AX168">
        <v>30825</v>
      </c>
      <c r="AY168">
        <v>39107</v>
      </c>
      <c r="AZ168">
        <v>0</v>
      </c>
      <c r="BA168">
        <v>30978</v>
      </c>
      <c r="BB168">
        <v>0</v>
      </c>
      <c r="BC168">
        <v>0</v>
      </c>
      <c r="BD168">
        <v>0</v>
      </c>
      <c r="BE168">
        <v>0</v>
      </c>
      <c r="BF168">
        <v>1453237</v>
      </c>
      <c r="BG168">
        <v>0</v>
      </c>
      <c r="BH168">
        <v>1197279</v>
      </c>
      <c r="BI168">
        <v>0</v>
      </c>
      <c r="BJ168">
        <v>0</v>
      </c>
      <c r="BK168">
        <v>0</v>
      </c>
      <c r="BL168">
        <v>1974965</v>
      </c>
      <c r="BM168">
        <v>3059525</v>
      </c>
      <c r="BN168">
        <v>251814</v>
      </c>
      <c r="BO168">
        <v>0</v>
      </c>
      <c r="BP168">
        <v>16281575</v>
      </c>
      <c r="BQ168">
        <v>0</v>
      </c>
      <c r="BR168">
        <v>735052</v>
      </c>
      <c r="BS168">
        <v>41407</v>
      </c>
      <c r="BT168">
        <v>1225190</v>
      </c>
      <c r="BU168">
        <v>29292</v>
      </c>
      <c r="BV168">
        <v>0</v>
      </c>
      <c r="BW168">
        <v>276507</v>
      </c>
      <c r="BX168">
        <v>307946</v>
      </c>
      <c r="BY168">
        <v>4677470</v>
      </c>
      <c r="BZ168">
        <v>44321</v>
      </c>
      <c r="CA168">
        <v>1291748</v>
      </c>
      <c r="CB168">
        <v>0</v>
      </c>
      <c r="CC168">
        <v>290310</v>
      </c>
      <c r="CD168">
        <v>2888528</v>
      </c>
    </row>
    <row r="169" spans="1:82" x14ac:dyDescent="0.3">
      <c r="A169" s="155">
        <v>624</v>
      </c>
      <c r="B169" t="s">
        <v>355</v>
      </c>
      <c r="D169">
        <v>1</v>
      </c>
      <c r="E169">
        <v>1</v>
      </c>
      <c r="F169">
        <v>1</v>
      </c>
      <c r="G169">
        <v>2</v>
      </c>
      <c r="H169">
        <v>1</v>
      </c>
      <c r="I169">
        <v>1</v>
      </c>
      <c r="J169">
        <v>1</v>
      </c>
      <c r="K169">
        <v>1</v>
      </c>
      <c r="L169">
        <v>1</v>
      </c>
      <c r="M169">
        <v>1</v>
      </c>
      <c r="N169">
        <v>2</v>
      </c>
      <c r="O169">
        <v>2</v>
      </c>
      <c r="P169">
        <v>2</v>
      </c>
      <c r="Q169">
        <v>1</v>
      </c>
      <c r="R169">
        <v>1</v>
      </c>
      <c r="S169">
        <v>2</v>
      </c>
      <c r="T169">
        <v>2</v>
      </c>
      <c r="U169">
        <v>2</v>
      </c>
      <c r="V169">
        <v>1</v>
      </c>
      <c r="W169">
        <v>1</v>
      </c>
      <c r="X169">
        <v>1</v>
      </c>
      <c r="Y169">
        <v>0</v>
      </c>
      <c r="Z169">
        <v>1</v>
      </c>
      <c r="AA169">
        <v>2</v>
      </c>
      <c r="AB169">
        <v>2</v>
      </c>
      <c r="AC169">
        <v>1</v>
      </c>
      <c r="AD169">
        <v>2</v>
      </c>
      <c r="AE169">
        <v>1</v>
      </c>
      <c r="AF169">
        <v>1</v>
      </c>
      <c r="AG169">
        <v>1</v>
      </c>
      <c r="AH169">
        <v>2</v>
      </c>
      <c r="AI169">
        <v>1</v>
      </c>
      <c r="AJ169">
        <v>1</v>
      </c>
      <c r="AK169">
        <v>1</v>
      </c>
      <c r="AL169">
        <v>1</v>
      </c>
      <c r="AM169">
        <v>2</v>
      </c>
      <c r="AN169">
        <v>2</v>
      </c>
      <c r="AO169">
        <v>0</v>
      </c>
      <c r="AP169">
        <v>2</v>
      </c>
      <c r="AQ169">
        <v>1</v>
      </c>
      <c r="AR169">
        <v>1</v>
      </c>
      <c r="AS169">
        <v>1</v>
      </c>
      <c r="AT169">
        <v>0</v>
      </c>
      <c r="AU169">
        <v>1</v>
      </c>
      <c r="AV169">
        <v>1</v>
      </c>
      <c r="AW169">
        <v>1</v>
      </c>
      <c r="AX169">
        <v>1</v>
      </c>
      <c r="AY169">
        <v>1</v>
      </c>
      <c r="AZ169">
        <v>1</v>
      </c>
      <c r="BA169">
        <v>1</v>
      </c>
      <c r="BB169">
        <v>2</v>
      </c>
      <c r="BC169">
        <v>2</v>
      </c>
      <c r="BD169">
        <v>1</v>
      </c>
      <c r="BE169">
        <v>1</v>
      </c>
      <c r="BF169">
        <v>1</v>
      </c>
      <c r="BG169">
        <v>1</v>
      </c>
      <c r="BH169">
        <v>1</v>
      </c>
      <c r="BI169">
        <v>1</v>
      </c>
      <c r="BJ169">
        <v>1</v>
      </c>
      <c r="BK169">
        <v>2</v>
      </c>
      <c r="BL169">
        <v>1</v>
      </c>
      <c r="BM169">
        <v>1</v>
      </c>
      <c r="BN169">
        <v>2</v>
      </c>
      <c r="BO169">
        <v>1</v>
      </c>
      <c r="BP169">
        <v>1</v>
      </c>
      <c r="BQ169">
        <v>2</v>
      </c>
      <c r="BR169">
        <v>1</v>
      </c>
      <c r="BS169">
        <v>1</v>
      </c>
      <c r="BT169">
        <v>1</v>
      </c>
      <c r="BU169">
        <v>1</v>
      </c>
      <c r="BV169">
        <v>1</v>
      </c>
      <c r="BW169">
        <v>2</v>
      </c>
      <c r="BX169">
        <v>1</v>
      </c>
      <c r="BY169">
        <v>1</v>
      </c>
      <c r="BZ169">
        <v>2</v>
      </c>
      <c r="CA169">
        <v>1</v>
      </c>
      <c r="CB169">
        <v>2</v>
      </c>
      <c r="CC169">
        <v>2</v>
      </c>
      <c r="CD169">
        <v>2</v>
      </c>
    </row>
    <row r="170" spans="1:82" x14ac:dyDescent="0.3">
      <c r="A170" s="155">
        <v>626</v>
      </c>
      <c r="B170" t="s">
        <v>902</v>
      </c>
      <c r="D170">
        <v>337266</v>
      </c>
      <c r="E170">
        <v>50755</v>
      </c>
      <c r="F170">
        <v>92520</v>
      </c>
      <c r="G170">
        <v>224129</v>
      </c>
      <c r="H170">
        <v>132180</v>
      </c>
      <c r="I170">
        <v>16878</v>
      </c>
      <c r="J170">
        <v>965</v>
      </c>
      <c r="K170">
        <v>89710</v>
      </c>
      <c r="L170">
        <v>1058610</v>
      </c>
      <c r="M170">
        <v>73274367</v>
      </c>
      <c r="N170">
        <v>295076</v>
      </c>
      <c r="O170">
        <v>2070725</v>
      </c>
      <c r="P170">
        <v>10690</v>
      </c>
      <c r="Q170">
        <v>8112777</v>
      </c>
      <c r="R170">
        <v>37250</v>
      </c>
      <c r="S170">
        <v>85130</v>
      </c>
      <c r="T170">
        <v>1398200</v>
      </c>
      <c r="U170">
        <v>49506</v>
      </c>
      <c r="V170">
        <v>1104399</v>
      </c>
      <c r="W170">
        <v>667556</v>
      </c>
      <c r="X170">
        <v>24409</v>
      </c>
      <c r="Y170">
        <v>109355</v>
      </c>
      <c r="Z170">
        <v>11460246</v>
      </c>
      <c r="AA170">
        <v>639640</v>
      </c>
      <c r="AB170">
        <v>131877</v>
      </c>
      <c r="AC170">
        <v>8809496</v>
      </c>
      <c r="AD170">
        <v>952272</v>
      </c>
      <c r="AE170">
        <v>194779</v>
      </c>
      <c r="AF170">
        <v>38603527</v>
      </c>
      <c r="AG170">
        <v>9281</v>
      </c>
      <c r="AH170">
        <v>4568</v>
      </c>
      <c r="AI170">
        <v>520684</v>
      </c>
      <c r="AJ170">
        <v>70796</v>
      </c>
      <c r="AK170">
        <v>26237</v>
      </c>
      <c r="AL170">
        <v>8108695</v>
      </c>
      <c r="AM170">
        <v>0</v>
      </c>
      <c r="AN170">
        <v>3251923</v>
      </c>
      <c r="AO170">
        <v>7806</v>
      </c>
      <c r="AP170">
        <v>537895</v>
      </c>
      <c r="AQ170">
        <v>125347</v>
      </c>
      <c r="AR170">
        <v>26806</v>
      </c>
      <c r="AS170">
        <v>110231</v>
      </c>
      <c r="AT170">
        <v>274924</v>
      </c>
      <c r="AU170">
        <v>163488366</v>
      </c>
      <c r="AV170">
        <v>27971295</v>
      </c>
      <c r="AW170">
        <v>638266</v>
      </c>
      <c r="AX170">
        <v>24572</v>
      </c>
      <c r="AY170">
        <v>40009</v>
      </c>
      <c r="AZ170">
        <v>11313</v>
      </c>
      <c r="BA170">
        <v>7333</v>
      </c>
      <c r="BB170">
        <v>992489</v>
      </c>
      <c r="BC170">
        <v>8042</v>
      </c>
      <c r="BD170">
        <v>35992</v>
      </c>
      <c r="BE170">
        <v>2935</v>
      </c>
      <c r="BF170">
        <v>4534797</v>
      </c>
      <c r="BG170">
        <v>0</v>
      </c>
      <c r="BH170">
        <v>4882068</v>
      </c>
      <c r="BI170">
        <v>631595</v>
      </c>
      <c r="BJ170">
        <v>79074</v>
      </c>
      <c r="BK170">
        <v>25810</v>
      </c>
      <c r="BL170">
        <v>3267367</v>
      </c>
      <c r="BM170">
        <v>3642744</v>
      </c>
      <c r="BN170">
        <v>559692</v>
      </c>
      <c r="BO170">
        <v>13704317</v>
      </c>
      <c r="BP170">
        <v>56263966</v>
      </c>
      <c r="BQ170">
        <v>13007</v>
      </c>
      <c r="BR170">
        <v>1871602</v>
      </c>
      <c r="BS170">
        <v>344175</v>
      </c>
      <c r="BT170">
        <v>1286434</v>
      </c>
      <c r="BU170">
        <v>311601</v>
      </c>
      <c r="BV170">
        <v>98009</v>
      </c>
      <c r="BW170">
        <v>29981433</v>
      </c>
      <c r="BX170">
        <v>631807</v>
      </c>
      <c r="BY170">
        <v>15370253</v>
      </c>
      <c r="BZ170">
        <v>201804</v>
      </c>
      <c r="CA170">
        <v>24533211</v>
      </c>
      <c r="CB170">
        <v>109188</v>
      </c>
      <c r="CC170">
        <v>928436</v>
      </c>
      <c r="CD170">
        <v>16980262</v>
      </c>
    </row>
    <row r="171" spans="1:82" x14ac:dyDescent="0.3">
      <c r="A171" s="155">
        <v>627</v>
      </c>
      <c r="B171" t="s">
        <v>903</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row>
    <row r="172" spans="1:82" x14ac:dyDescent="0.3">
      <c r="A172" s="155">
        <v>628</v>
      </c>
      <c r="B172" t="s">
        <v>904</v>
      </c>
      <c r="D172">
        <v>0</v>
      </c>
      <c r="E172">
        <v>0</v>
      </c>
      <c r="F172">
        <v>0</v>
      </c>
      <c r="G172">
        <v>10946</v>
      </c>
      <c r="H172">
        <v>0</v>
      </c>
      <c r="I172">
        <v>0</v>
      </c>
      <c r="J172">
        <v>0</v>
      </c>
      <c r="K172">
        <v>0</v>
      </c>
      <c r="L172">
        <v>100000</v>
      </c>
      <c r="M172">
        <v>4432160</v>
      </c>
      <c r="N172">
        <v>14407</v>
      </c>
      <c r="O172">
        <v>70646</v>
      </c>
      <c r="P172">
        <v>0</v>
      </c>
      <c r="Q172">
        <v>140000</v>
      </c>
      <c r="R172">
        <v>0</v>
      </c>
      <c r="S172">
        <v>1015</v>
      </c>
      <c r="T172">
        <v>29231</v>
      </c>
      <c r="U172">
        <v>14123</v>
      </c>
      <c r="V172">
        <v>70513</v>
      </c>
      <c r="W172">
        <v>64608</v>
      </c>
      <c r="X172">
        <v>5955</v>
      </c>
      <c r="Y172">
        <v>0</v>
      </c>
      <c r="Z172">
        <v>278172</v>
      </c>
      <c r="AA172">
        <v>0</v>
      </c>
      <c r="AB172">
        <v>6779</v>
      </c>
      <c r="AC172">
        <v>0</v>
      </c>
      <c r="AD172">
        <v>12400</v>
      </c>
      <c r="AE172">
        <v>6793</v>
      </c>
      <c r="AF172">
        <v>2722000</v>
      </c>
      <c r="AG172">
        <v>0</v>
      </c>
      <c r="AH172">
        <v>873</v>
      </c>
      <c r="AI172">
        <v>0</v>
      </c>
      <c r="AJ172">
        <v>22281</v>
      </c>
      <c r="AK172">
        <v>0</v>
      </c>
      <c r="AL172">
        <v>305600</v>
      </c>
      <c r="AM172">
        <v>0</v>
      </c>
      <c r="AN172">
        <v>215320</v>
      </c>
      <c r="AO172">
        <v>0</v>
      </c>
      <c r="AP172">
        <v>83622</v>
      </c>
      <c r="AQ172">
        <v>0</v>
      </c>
      <c r="AR172">
        <v>0</v>
      </c>
      <c r="AS172">
        <v>0</v>
      </c>
      <c r="AT172">
        <v>2500</v>
      </c>
      <c r="AU172">
        <v>7960247</v>
      </c>
      <c r="AV172">
        <v>3936136</v>
      </c>
      <c r="AW172">
        <v>18000</v>
      </c>
      <c r="AX172">
        <v>0</v>
      </c>
      <c r="AY172">
        <v>0</v>
      </c>
      <c r="AZ172">
        <v>0</v>
      </c>
      <c r="BA172">
        <v>378</v>
      </c>
      <c r="BB172">
        <v>78810</v>
      </c>
      <c r="BC172">
        <v>0</v>
      </c>
      <c r="BD172">
        <v>0</v>
      </c>
      <c r="BE172">
        <v>0</v>
      </c>
      <c r="BF172">
        <v>495750</v>
      </c>
      <c r="BG172">
        <v>0</v>
      </c>
      <c r="BH172">
        <v>44971</v>
      </c>
      <c r="BI172">
        <v>58386</v>
      </c>
      <c r="BJ172">
        <v>0</v>
      </c>
      <c r="BK172">
        <v>0</v>
      </c>
      <c r="BL172">
        <v>175393</v>
      </c>
      <c r="BM172">
        <v>0</v>
      </c>
      <c r="BN172">
        <v>4867</v>
      </c>
      <c r="BO172">
        <v>1477703</v>
      </c>
      <c r="BP172">
        <v>4088758</v>
      </c>
      <c r="BQ172">
        <v>0</v>
      </c>
      <c r="BR172">
        <v>150000</v>
      </c>
      <c r="BS172">
        <v>0</v>
      </c>
      <c r="BT172">
        <v>159000</v>
      </c>
      <c r="BU172">
        <v>3882</v>
      </c>
      <c r="BV172">
        <v>0</v>
      </c>
      <c r="BW172">
        <v>23368</v>
      </c>
      <c r="BX172">
        <v>23760</v>
      </c>
      <c r="BY172">
        <v>1054983</v>
      </c>
      <c r="BZ172">
        <v>0</v>
      </c>
      <c r="CA172">
        <v>476669</v>
      </c>
      <c r="CB172">
        <v>0</v>
      </c>
      <c r="CC172">
        <v>26000</v>
      </c>
      <c r="CD172">
        <v>931989</v>
      </c>
    </row>
    <row r="173" spans="1:82" x14ac:dyDescent="0.3">
      <c r="A173" s="155">
        <v>629</v>
      </c>
      <c r="B173" t="s">
        <v>905</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86603</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row>
    <row r="174" spans="1:82" x14ac:dyDescent="0.3">
      <c r="A174" s="155">
        <v>630</v>
      </c>
      <c r="B174" t="s">
        <v>906</v>
      </c>
      <c r="D174">
        <v>0</v>
      </c>
      <c r="E174">
        <v>0</v>
      </c>
      <c r="F174">
        <v>2299</v>
      </c>
      <c r="G174">
        <v>0</v>
      </c>
      <c r="H174">
        <v>0</v>
      </c>
      <c r="I174">
        <v>13478</v>
      </c>
      <c r="J174">
        <v>0</v>
      </c>
      <c r="K174">
        <v>89631</v>
      </c>
      <c r="L174">
        <v>0</v>
      </c>
      <c r="M174">
        <v>2080083</v>
      </c>
      <c r="N174">
        <v>224931</v>
      </c>
      <c r="O174">
        <v>0</v>
      </c>
      <c r="P174">
        <v>0</v>
      </c>
      <c r="Q174">
        <v>1141256</v>
      </c>
      <c r="R174">
        <v>0</v>
      </c>
      <c r="S174">
        <v>0</v>
      </c>
      <c r="T174">
        <v>0</v>
      </c>
      <c r="U174">
        <v>0</v>
      </c>
      <c r="V174">
        <v>0</v>
      </c>
      <c r="W174">
        <v>359656</v>
      </c>
      <c r="X174">
        <v>0</v>
      </c>
      <c r="Y174">
        <v>0</v>
      </c>
      <c r="Z174">
        <v>0</v>
      </c>
      <c r="AA174">
        <v>0</v>
      </c>
      <c r="AB174">
        <v>0</v>
      </c>
      <c r="AC174">
        <v>0</v>
      </c>
      <c r="AD174">
        <v>0</v>
      </c>
      <c r="AE174">
        <v>0</v>
      </c>
      <c r="AF174">
        <v>632993</v>
      </c>
      <c r="AG174">
        <v>0</v>
      </c>
      <c r="AH174">
        <v>0</v>
      </c>
      <c r="AI174">
        <v>0</v>
      </c>
      <c r="AJ174">
        <v>0</v>
      </c>
      <c r="AK174">
        <v>22787</v>
      </c>
      <c r="AL174">
        <v>16131</v>
      </c>
      <c r="AM174">
        <v>0</v>
      </c>
      <c r="AN174">
        <v>13575</v>
      </c>
      <c r="AO174">
        <v>0</v>
      </c>
      <c r="AP174">
        <v>0</v>
      </c>
      <c r="AQ174">
        <v>0</v>
      </c>
      <c r="AR174">
        <v>25838</v>
      </c>
      <c r="AS174">
        <v>0</v>
      </c>
      <c r="AT174">
        <v>103099</v>
      </c>
      <c r="AU174">
        <v>10333896</v>
      </c>
      <c r="AV174">
        <v>0</v>
      </c>
      <c r="AW174">
        <v>0</v>
      </c>
      <c r="AX174">
        <v>0</v>
      </c>
      <c r="AY174">
        <v>32184</v>
      </c>
      <c r="AZ174">
        <v>0</v>
      </c>
      <c r="BA174">
        <v>0</v>
      </c>
      <c r="BB174">
        <v>0</v>
      </c>
      <c r="BC174">
        <v>0</v>
      </c>
      <c r="BD174">
        <v>29892</v>
      </c>
      <c r="BE174">
        <v>0</v>
      </c>
      <c r="BF174">
        <v>2169726</v>
      </c>
      <c r="BG174">
        <v>0</v>
      </c>
      <c r="BH174">
        <v>0</v>
      </c>
      <c r="BI174">
        <v>0</v>
      </c>
      <c r="BJ174">
        <v>64482</v>
      </c>
      <c r="BK174">
        <v>0</v>
      </c>
      <c r="BL174">
        <v>0</v>
      </c>
      <c r="BM174">
        <v>0</v>
      </c>
      <c r="BN174">
        <v>0</v>
      </c>
      <c r="BO174">
        <v>77490</v>
      </c>
      <c r="BP174">
        <v>19042100</v>
      </c>
      <c r="BQ174">
        <v>0</v>
      </c>
      <c r="BR174">
        <v>0</v>
      </c>
      <c r="BS174">
        <v>295134</v>
      </c>
      <c r="BT174">
        <v>0</v>
      </c>
      <c r="BU174">
        <v>300513</v>
      </c>
      <c r="BV174">
        <v>91147</v>
      </c>
      <c r="BW174">
        <v>0</v>
      </c>
      <c r="BX174">
        <v>0</v>
      </c>
      <c r="BY174">
        <v>0</v>
      </c>
      <c r="BZ174">
        <v>0</v>
      </c>
      <c r="CA174">
        <v>0</v>
      </c>
      <c r="CB174">
        <v>0</v>
      </c>
      <c r="CC174">
        <v>0</v>
      </c>
      <c r="CD174">
        <v>200334</v>
      </c>
    </row>
    <row r="175" spans="1:82" x14ac:dyDescent="0.3">
      <c r="A175" s="155">
        <v>631</v>
      </c>
      <c r="B175" t="s">
        <v>907</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row>
    <row r="176" spans="1:82" x14ac:dyDescent="0.3">
      <c r="A176" s="155">
        <v>632</v>
      </c>
      <c r="B176" t="s">
        <v>908</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row>
    <row r="177" spans="1:82" x14ac:dyDescent="0.3">
      <c r="A177" s="155">
        <v>633</v>
      </c>
      <c r="B177" t="s">
        <v>371</v>
      </c>
      <c r="D177">
        <v>116674</v>
      </c>
      <c r="E177">
        <v>239916</v>
      </c>
      <c r="F177">
        <v>0</v>
      </c>
      <c r="G177">
        <v>42271</v>
      </c>
      <c r="H177">
        <v>170962</v>
      </c>
      <c r="I177">
        <v>33717</v>
      </c>
      <c r="J177">
        <v>0</v>
      </c>
      <c r="K177">
        <v>133439</v>
      </c>
      <c r="L177">
        <v>711236</v>
      </c>
      <c r="M177">
        <v>0</v>
      </c>
      <c r="N177">
        <v>0</v>
      </c>
      <c r="O177">
        <v>0</v>
      </c>
      <c r="P177">
        <v>18448</v>
      </c>
      <c r="Q177">
        <v>220759</v>
      </c>
      <c r="R177">
        <v>0</v>
      </c>
      <c r="S177">
        <v>56892</v>
      </c>
      <c r="T177">
        <v>408301</v>
      </c>
      <c r="U177">
        <v>38466</v>
      </c>
      <c r="V177">
        <v>1084818</v>
      </c>
      <c r="W177">
        <v>0</v>
      </c>
      <c r="X177">
        <v>98892</v>
      </c>
      <c r="Y177">
        <v>77654</v>
      </c>
      <c r="Z177">
        <v>4040957</v>
      </c>
      <c r="AA177">
        <v>0</v>
      </c>
      <c r="AB177">
        <v>22160</v>
      </c>
      <c r="AC177">
        <v>0</v>
      </c>
      <c r="AD177">
        <v>0</v>
      </c>
      <c r="AE177">
        <v>0</v>
      </c>
      <c r="AF177">
        <v>11498386</v>
      </c>
      <c r="AG177">
        <v>1959</v>
      </c>
      <c r="AH177">
        <v>44271</v>
      </c>
      <c r="AI177">
        <v>800160</v>
      </c>
      <c r="AJ177">
        <v>0</v>
      </c>
      <c r="AK177">
        <v>9425</v>
      </c>
      <c r="AL177">
        <v>5107232</v>
      </c>
      <c r="AM177">
        <v>53343</v>
      </c>
      <c r="AN177">
        <v>941968</v>
      </c>
      <c r="AO177">
        <v>0</v>
      </c>
      <c r="AP177">
        <v>381340</v>
      </c>
      <c r="AQ177">
        <v>0</v>
      </c>
      <c r="AR177">
        <v>0</v>
      </c>
      <c r="AS177">
        <v>696796</v>
      </c>
      <c r="AT177">
        <v>32371</v>
      </c>
      <c r="AU177">
        <v>28398234</v>
      </c>
      <c r="AV177">
        <v>10278973</v>
      </c>
      <c r="AW177">
        <v>376393</v>
      </c>
      <c r="AX177">
        <v>276764</v>
      </c>
      <c r="AY177">
        <v>255545</v>
      </c>
      <c r="AZ177">
        <v>82270</v>
      </c>
      <c r="BA177">
        <v>212531</v>
      </c>
      <c r="BB177">
        <v>141253</v>
      </c>
      <c r="BC177">
        <v>13549</v>
      </c>
      <c r="BD177">
        <v>0</v>
      </c>
      <c r="BE177">
        <v>43602</v>
      </c>
      <c r="BF177">
        <v>2396979</v>
      </c>
      <c r="BG177">
        <v>0</v>
      </c>
      <c r="BH177">
        <v>1121278</v>
      </c>
      <c r="BI177">
        <v>246597</v>
      </c>
      <c r="BJ177">
        <v>0</v>
      </c>
      <c r="BK177">
        <v>0</v>
      </c>
      <c r="BL177">
        <v>2587811</v>
      </c>
      <c r="BM177">
        <v>5977785</v>
      </c>
      <c r="BN177">
        <v>572857</v>
      </c>
      <c r="BO177">
        <v>5845732</v>
      </c>
      <c r="BP177">
        <v>14285698</v>
      </c>
      <c r="BQ177">
        <v>41735</v>
      </c>
      <c r="BR177">
        <v>415421</v>
      </c>
      <c r="BS177">
        <v>0</v>
      </c>
      <c r="BT177">
        <v>3946300</v>
      </c>
      <c r="BU177">
        <v>25560</v>
      </c>
      <c r="BV177">
        <v>19547</v>
      </c>
      <c r="BW177">
        <v>337070</v>
      </c>
      <c r="BX177">
        <v>0</v>
      </c>
      <c r="BY177">
        <v>7232224</v>
      </c>
      <c r="BZ177">
        <v>194789</v>
      </c>
      <c r="CA177">
        <v>0</v>
      </c>
      <c r="CB177">
        <v>68050</v>
      </c>
      <c r="CC177">
        <v>0</v>
      </c>
      <c r="CD177">
        <v>0</v>
      </c>
    </row>
    <row r="178" spans="1:82" x14ac:dyDescent="0.3">
      <c r="A178" s="155">
        <v>634</v>
      </c>
      <c r="B178" t="s">
        <v>372</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21000</v>
      </c>
      <c r="BB178">
        <v>0</v>
      </c>
      <c r="BC178">
        <v>0</v>
      </c>
      <c r="BD178">
        <v>0</v>
      </c>
      <c r="BE178">
        <v>18500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row>
    <row r="179" spans="1:82" x14ac:dyDescent="0.3">
      <c r="A179" s="155">
        <v>635</v>
      </c>
      <c r="B179" t="s">
        <v>373</v>
      </c>
      <c r="D179">
        <v>0</v>
      </c>
      <c r="E179">
        <v>0</v>
      </c>
      <c r="F179">
        <v>0</v>
      </c>
      <c r="G179">
        <v>6483</v>
      </c>
      <c r="H179">
        <v>0</v>
      </c>
      <c r="I179">
        <v>0</v>
      </c>
      <c r="J179">
        <v>0</v>
      </c>
      <c r="K179">
        <v>0</v>
      </c>
      <c r="L179">
        <v>6000</v>
      </c>
      <c r="M179">
        <v>0</v>
      </c>
      <c r="N179">
        <v>0</v>
      </c>
      <c r="O179">
        <v>0</v>
      </c>
      <c r="P179">
        <v>0</v>
      </c>
      <c r="Q179">
        <v>25000</v>
      </c>
      <c r="R179">
        <v>0</v>
      </c>
      <c r="S179">
        <v>512</v>
      </c>
      <c r="T179">
        <v>7448</v>
      </c>
      <c r="U179">
        <v>1854</v>
      </c>
      <c r="V179">
        <v>30860</v>
      </c>
      <c r="W179">
        <v>0</v>
      </c>
      <c r="X179">
        <v>0</v>
      </c>
      <c r="Y179">
        <v>0</v>
      </c>
      <c r="Z179">
        <v>30000</v>
      </c>
      <c r="AA179">
        <v>0</v>
      </c>
      <c r="AB179">
        <v>0</v>
      </c>
      <c r="AC179">
        <v>0</v>
      </c>
      <c r="AD179">
        <v>0</v>
      </c>
      <c r="AE179">
        <v>0</v>
      </c>
      <c r="AF179">
        <v>442862</v>
      </c>
      <c r="AG179">
        <v>0</v>
      </c>
      <c r="AH179">
        <v>0</v>
      </c>
      <c r="AI179">
        <v>5117</v>
      </c>
      <c r="AJ179">
        <v>0</v>
      </c>
      <c r="AK179">
        <v>0</v>
      </c>
      <c r="AL179">
        <v>45700</v>
      </c>
      <c r="AM179">
        <v>0</v>
      </c>
      <c r="AN179">
        <v>71126</v>
      </c>
      <c r="AO179">
        <v>0</v>
      </c>
      <c r="AP179">
        <v>32972</v>
      </c>
      <c r="AQ179">
        <v>0</v>
      </c>
      <c r="AR179">
        <v>0</v>
      </c>
      <c r="AS179">
        <v>0</v>
      </c>
      <c r="AT179">
        <v>2500</v>
      </c>
      <c r="AU179">
        <v>1065625</v>
      </c>
      <c r="AV179">
        <v>811392</v>
      </c>
      <c r="AW179">
        <v>7000</v>
      </c>
      <c r="AX179">
        <v>0</v>
      </c>
      <c r="AY179">
        <v>0</v>
      </c>
      <c r="AZ179">
        <v>0</v>
      </c>
      <c r="BA179">
        <v>425</v>
      </c>
      <c r="BB179">
        <v>35983</v>
      </c>
      <c r="BC179">
        <v>0</v>
      </c>
      <c r="BD179">
        <v>0</v>
      </c>
      <c r="BE179">
        <v>0</v>
      </c>
      <c r="BF179">
        <v>101042</v>
      </c>
      <c r="BG179">
        <v>0</v>
      </c>
      <c r="BH179">
        <v>5274</v>
      </c>
      <c r="BI179">
        <v>13122</v>
      </c>
      <c r="BJ179">
        <v>0</v>
      </c>
      <c r="BK179">
        <v>0</v>
      </c>
      <c r="BL179">
        <v>34530</v>
      </c>
      <c r="BM179">
        <v>338316</v>
      </c>
      <c r="BN179">
        <v>9416</v>
      </c>
      <c r="BO179">
        <v>195324</v>
      </c>
      <c r="BP179">
        <v>422976</v>
      </c>
      <c r="BQ179">
        <v>0</v>
      </c>
      <c r="BR179">
        <v>35000</v>
      </c>
      <c r="BS179">
        <v>0</v>
      </c>
      <c r="BT179">
        <v>124100</v>
      </c>
      <c r="BU179">
        <v>3882</v>
      </c>
      <c r="BV179">
        <v>0</v>
      </c>
      <c r="BW179">
        <v>5160</v>
      </c>
      <c r="BX179">
        <v>0</v>
      </c>
      <c r="BY179">
        <v>161331</v>
      </c>
      <c r="BZ179">
        <v>0</v>
      </c>
      <c r="CA179">
        <v>0</v>
      </c>
      <c r="CB179">
        <v>0</v>
      </c>
      <c r="CC179">
        <v>0</v>
      </c>
      <c r="CD179">
        <v>0</v>
      </c>
    </row>
    <row r="180" spans="1:82" x14ac:dyDescent="0.3">
      <c r="A180" s="155">
        <v>636</v>
      </c>
      <c r="B180" t="s">
        <v>1582</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3181</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row>
    <row r="181" spans="1:82" x14ac:dyDescent="0.3">
      <c r="A181" s="155">
        <v>637</v>
      </c>
      <c r="B181" t="s">
        <v>1583</v>
      </c>
      <c r="D181">
        <v>0</v>
      </c>
      <c r="E181">
        <v>0</v>
      </c>
      <c r="F181">
        <v>0</v>
      </c>
      <c r="G181">
        <v>0</v>
      </c>
      <c r="H181">
        <v>0</v>
      </c>
      <c r="I181">
        <v>0</v>
      </c>
      <c r="J181">
        <v>0</v>
      </c>
      <c r="K181">
        <v>24455</v>
      </c>
      <c r="L181">
        <v>97165</v>
      </c>
      <c r="M181">
        <v>0</v>
      </c>
      <c r="N181">
        <v>0</v>
      </c>
      <c r="O181">
        <v>0</v>
      </c>
      <c r="P181">
        <v>1300</v>
      </c>
      <c r="Q181">
        <v>120280</v>
      </c>
      <c r="R181">
        <v>0</v>
      </c>
      <c r="S181">
        <v>22120</v>
      </c>
      <c r="T181">
        <v>0</v>
      </c>
      <c r="U181">
        <v>0</v>
      </c>
      <c r="V181">
        <v>43140</v>
      </c>
      <c r="W181">
        <v>0</v>
      </c>
      <c r="X181">
        <v>39809</v>
      </c>
      <c r="Y181">
        <v>20540</v>
      </c>
      <c r="Z181">
        <v>104945</v>
      </c>
      <c r="AA181">
        <v>0</v>
      </c>
      <c r="AB181">
        <v>0</v>
      </c>
      <c r="AC181">
        <v>0</v>
      </c>
      <c r="AD181">
        <v>0</v>
      </c>
      <c r="AE181">
        <v>0</v>
      </c>
      <c r="AF181">
        <v>491968</v>
      </c>
      <c r="AG181">
        <v>0</v>
      </c>
      <c r="AH181">
        <v>18011</v>
      </c>
      <c r="AI181">
        <v>66903</v>
      </c>
      <c r="AJ181">
        <v>0</v>
      </c>
      <c r="AK181">
        <v>7150</v>
      </c>
      <c r="AL181">
        <v>1269731</v>
      </c>
      <c r="AM181">
        <v>0</v>
      </c>
      <c r="AN181">
        <v>0</v>
      </c>
      <c r="AO181">
        <v>0</v>
      </c>
      <c r="AP181">
        <v>119821</v>
      </c>
      <c r="AQ181">
        <v>0</v>
      </c>
      <c r="AR181">
        <v>0</v>
      </c>
      <c r="AS181">
        <v>64748</v>
      </c>
      <c r="AT181">
        <v>21560</v>
      </c>
      <c r="AU181">
        <v>0</v>
      </c>
      <c r="AV181">
        <v>0</v>
      </c>
      <c r="AW181">
        <v>137322</v>
      </c>
      <c r="AX181">
        <v>37147</v>
      </c>
      <c r="AY181">
        <v>200000</v>
      </c>
      <c r="AZ181">
        <v>0</v>
      </c>
      <c r="BA181">
        <v>48616</v>
      </c>
      <c r="BB181">
        <v>0</v>
      </c>
      <c r="BC181">
        <v>4311</v>
      </c>
      <c r="BD181">
        <v>0</v>
      </c>
      <c r="BE181">
        <v>0</v>
      </c>
      <c r="BF181">
        <v>313460</v>
      </c>
      <c r="BG181">
        <v>0</v>
      </c>
      <c r="BH181">
        <v>0</v>
      </c>
      <c r="BI181">
        <v>0</v>
      </c>
      <c r="BJ181">
        <v>0</v>
      </c>
      <c r="BK181">
        <v>0</v>
      </c>
      <c r="BL181">
        <v>0</v>
      </c>
      <c r="BM181">
        <v>0</v>
      </c>
      <c r="BN181">
        <v>0</v>
      </c>
      <c r="BO181">
        <v>695275</v>
      </c>
      <c r="BP181">
        <v>449195</v>
      </c>
      <c r="BQ181">
        <v>20785</v>
      </c>
      <c r="BR181">
        <v>885</v>
      </c>
      <c r="BS181">
        <v>0</v>
      </c>
      <c r="BT181">
        <v>0</v>
      </c>
      <c r="BU181">
        <v>18145</v>
      </c>
      <c r="BV181">
        <v>0</v>
      </c>
      <c r="BW181">
        <v>0</v>
      </c>
      <c r="BX181">
        <v>0</v>
      </c>
      <c r="BY181">
        <v>0</v>
      </c>
      <c r="BZ181">
        <v>725</v>
      </c>
      <c r="CA181">
        <v>0</v>
      </c>
      <c r="CB181">
        <v>11665</v>
      </c>
      <c r="CC181">
        <v>0</v>
      </c>
      <c r="CD181">
        <v>0</v>
      </c>
    </row>
    <row r="182" spans="1:82" x14ac:dyDescent="0.3">
      <c r="A182" s="155">
        <v>638</v>
      </c>
      <c r="B182" t="s">
        <v>1584</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row>
    <row r="183" spans="1:82" x14ac:dyDescent="0.3">
      <c r="A183" s="155">
        <v>639</v>
      </c>
      <c r="B183" s="551" t="s">
        <v>1585</v>
      </c>
      <c r="D183">
        <v>0</v>
      </c>
      <c r="E183">
        <v>0</v>
      </c>
      <c r="F183">
        <v>0</v>
      </c>
      <c r="G183">
        <v>0</v>
      </c>
      <c r="H183">
        <v>0</v>
      </c>
      <c r="I183">
        <v>0</v>
      </c>
      <c r="J183">
        <v>0</v>
      </c>
      <c r="K183">
        <v>0</v>
      </c>
      <c r="L183">
        <v>670988</v>
      </c>
      <c r="M183">
        <v>0</v>
      </c>
      <c r="N183">
        <v>0</v>
      </c>
      <c r="O183">
        <v>0</v>
      </c>
      <c r="P183">
        <v>0</v>
      </c>
      <c r="Q183">
        <v>397913</v>
      </c>
      <c r="R183">
        <v>0</v>
      </c>
      <c r="S183">
        <v>76685</v>
      </c>
      <c r="T183">
        <v>0</v>
      </c>
      <c r="U183">
        <v>0</v>
      </c>
      <c r="V183">
        <v>0</v>
      </c>
      <c r="W183">
        <v>0</v>
      </c>
      <c r="X183">
        <v>0</v>
      </c>
      <c r="Y183">
        <v>208781</v>
      </c>
      <c r="Z183">
        <v>0</v>
      </c>
      <c r="AA183">
        <v>0</v>
      </c>
      <c r="AB183">
        <v>0</v>
      </c>
      <c r="AC183">
        <v>0</v>
      </c>
      <c r="AD183">
        <v>0</v>
      </c>
      <c r="AE183">
        <v>0</v>
      </c>
      <c r="AF183">
        <v>9179326</v>
      </c>
      <c r="AG183">
        <v>0</v>
      </c>
      <c r="AH183">
        <v>0</v>
      </c>
      <c r="AI183">
        <v>0</v>
      </c>
      <c r="AJ183">
        <v>0</v>
      </c>
      <c r="AK183">
        <v>0</v>
      </c>
      <c r="AL183">
        <v>0</v>
      </c>
      <c r="AM183">
        <v>0</v>
      </c>
      <c r="AN183">
        <v>0</v>
      </c>
      <c r="AO183">
        <v>0</v>
      </c>
      <c r="AP183">
        <v>857423</v>
      </c>
      <c r="AQ183">
        <v>0</v>
      </c>
      <c r="AR183">
        <v>0</v>
      </c>
      <c r="AS183">
        <v>0</v>
      </c>
      <c r="AT183">
        <v>0</v>
      </c>
      <c r="AU183">
        <v>0</v>
      </c>
      <c r="AV183">
        <v>22305990</v>
      </c>
      <c r="AW183">
        <v>0</v>
      </c>
      <c r="AX183">
        <v>0</v>
      </c>
      <c r="AY183">
        <v>0</v>
      </c>
      <c r="AZ183">
        <v>0</v>
      </c>
      <c r="BA183">
        <v>59063</v>
      </c>
      <c r="BB183">
        <v>0</v>
      </c>
      <c r="BC183">
        <v>0</v>
      </c>
      <c r="BD183">
        <v>0</v>
      </c>
      <c r="BE183">
        <v>0</v>
      </c>
      <c r="BF183">
        <v>0</v>
      </c>
      <c r="BG183">
        <v>0</v>
      </c>
      <c r="BH183">
        <v>0</v>
      </c>
      <c r="BI183">
        <v>0</v>
      </c>
      <c r="BJ183">
        <v>0</v>
      </c>
      <c r="BK183">
        <v>0</v>
      </c>
      <c r="BL183">
        <v>0</v>
      </c>
      <c r="BM183">
        <v>0</v>
      </c>
      <c r="BN183">
        <v>580171</v>
      </c>
      <c r="BO183">
        <v>0</v>
      </c>
      <c r="BP183">
        <v>14562778</v>
      </c>
      <c r="BQ183">
        <v>0</v>
      </c>
      <c r="BR183">
        <v>355877</v>
      </c>
      <c r="BS183">
        <v>0</v>
      </c>
      <c r="BT183">
        <v>0</v>
      </c>
      <c r="BU183">
        <v>100361</v>
      </c>
      <c r="BV183">
        <v>0</v>
      </c>
      <c r="BW183">
        <v>0</v>
      </c>
      <c r="BX183">
        <v>0</v>
      </c>
      <c r="BY183">
        <v>0</v>
      </c>
      <c r="BZ183">
        <v>146515</v>
      </c>
      <c r="CA183">
        <v>0</v>
      </c>
      <c r="CB183">
        <v>0</v>
      </c>
      <c r="CC183">
        <v>0</v>
      </c>
      <c r="CD183">
        <v>2794718</v>
      </c>
    </row>
    <row r="184" spans="1:82" x14ac:dyDescent="0.3">
      <c r="A184" s="155">
        <v>640</v>
      </c>
      <c r="B184" s="551" t="s">
        <v>1586</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row>
    <row r="185" spans="1:82" x14ac:dyDescent="0.3">
      <c r="A185" s="155">
        <v>641</v>
      </c>
      <c r="B185" s="551" t="s">
        <v>1587</v>
      </c>
      <c r="D185">
        <v>0</v>
      </c>
      <c r="E185">
        <v>0</v>
      </c>
      <c r="F185">
        <v>0</v>
      </c>
      <c r="G185">
        <v>0</v>
      </c>
      <c r="H185">
        <v>0</v>
      </c>
      <c r="I185">
        <v>0</v>
      </c>
      <c r="J185">
        <v>0</v>
      </c>
      <c r="K185">
        <v>0</v>
      </c>
      <c r="L185">
        <v>16000</v>
      </c>
      <c r="M185">
        <v>0</v>
      </c>
      <c r="N185">
        <v>0</v>
      </c>
      <c r="O185">
        <v>0</v>
      </c>
      <c r="P185">
        <v>0</v>
      </c>
      <c r="Q185">
        <v>20000</v>
      </c>
      <c r="R185">
        <v>0</v>
      </c>
      <c r="S185">
        <v>3573</v>
      </c>
      <c r="T185">
        <v>0</v>
      </c>
      <c r="U185">
        <v>0</v>
      </c>
      <c r="V185">
        <v>0</v>
      </c>
      <c r="W185">
        <v>0</v>
      </c>
      <c r="X185">
        <v>0</v>
      </c>
      <c r="Y185">
        <v>0</v>
      </c>
      <c r="Z185">
        <v>0</v>
      </c>
      <c r="AA185">
        <v>0</v>
      </c>
      <c r="AB185">
        <v>0</v>
      </c>
      <c r="AC185">
        <v>0</v>
      </c>
      <c r="AD185">
        <v>0</v>
      </c>
      <c r="AE185">
        <v>0</v>
      </c>
      <c r="AF185">
        <v>238494</v>
      </c>
      <c r="AG185">
        <v>0</v>
      </c>
      <c r="AH185">
        <v>0</v>
      </c>
      <c r="AI185">
        <v>0</v>
      </c>
      <c r="AJ185">
        <v>0</v>
      </c>
      <c r="AK185">
        <v>0</v>
      </c>
      <c r="AL185">
        <v>0</v>
      </c>
      <c r="AM185">
        <v>0</v>
      </c>
      <c r="AN185">
        <v>0</v>
      </c>
      <c r="AO185">
        <v>0</v>
      </c>
      <c r="AP185">
        <v>27629</v>
      </c>
      <c r="AQ185">
        <v>0</v>
      </c>
      <c r="AR185">
        <v>0</v>
      </c>
      <c r="AS185">
        <v>0</v>
      </c>
      <c r="AT185">
        <v>0</v>
      </c>
      <c r="AU185">
        <v>0</v>
      </c>
      <c r="AV185">
        <v>925888</v>
      </c>
      <c r="AW185">
        <v>0</v>
      </c>
      <c r="AX185">
        <v>0</v>
      </c>
      <c r="AY185">
        <v>0</v>
      </c>
      <c r="AZ185">
        <v>0</v>
      </c>
      <c r="BA185">
        <v>142</v>
      </c>
      <c r="BB185">
        <v>0</v>
      </c>
      <c r="BC185">
        <v>0</v>
      </c>
      <c r="BD185">
        <v>0</v>
      </c>
      <c r="BE185">
        <v>0</v>
      </c>
      <c r="BF185">
        <v>0</v>
      </c>
      <c r="BG185">
        <v>0</v>
      </c>
      <c r="BH185">
        <v>0</v>
      </c>
      <c r="BI185">
        <v>0</v>
      </c>
      <c r="BJ185">
        <v>0</v>
      </c>
      <c r="BK185">
        <v>0</v>
      </c>
      <c r="BL185">
        <v>0</v>
      </c>
      <c r="BM185">
        <v>0</v>
      </c>
      <c r="BN185">
        <v>7727</v>
      </c>
      <c r="BO185">
        <v>0</v>
      </c>
      <c r="BP185">
        <v>437680</v>
      </c>
      <c r="BQ185">
        <v>0</v>
      </c>
      <c r="BR185">
        <v>71579</v>
      </c>
      <c r="BS185">
        <v>0</v>
      </c>
      <c r="BT185">
        <v>0</v>
      </c>
      <c r="BU185">
        <v>3882</v>
      </c>
      <c r="BV185">
        <v>0</v>
      </c>
      <c r="BW185">
        <v>0</v>
      </c>
      <c r="BX185">
        <v>0</v>
      </c>
      <c r="BY185">
        <v>0</v>
      </c>
      <c r="BZ185">
        <v>0</v>
      </c>
      <c r="CA185">
        <v>0</v>
      </c>
      <c r="CB185">
        <v>0</v>
      </c>
      <c r="CC185">
        <v>0</v>
      </c>
      <c r="CD185">
        <v>0</v>
      </c>
    </row>
    <row r="186" spans="1:82" x14ac:dyDescent="0.3">
      <c r="A186" s="155">
        <v>642</v>
      </c>
      <c r="B186" s="551" t="s">
        <v>1588</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row>
    <row r="187" spans="1:82" x14ac:dyDescent="0.3">
      <c r="A187" s="155">
        <v>643</v>
      </c>
      <c r="B187" s="551" t="s">
        <v>1589</v>
      </c>
      <c r="D187">
        <v>0</v>
      </c>
      <c r="E187">
        <v>0</v>
      </c>
      <c r="F187">
        <v>0</v>
      </c>
      <c r="G187">
        <v>0</v>
      </c>
      <c r="H187">
        <v>0</v>
      </c>
      <c r="I187">
        <v>0</v>
      </c>
      <c r="J187">
        <v>0</v>
      </c>
      <c r="K187">
        <v>0</v>
      </c>
      <c r="L187">
        <v>200371</v>
      </c>
      <c r="M187">
        <v>0</v>
      </c>
      <c r="N187">
        <v>0</v>
      </c>
      <c r="O187">
        <v>0</v>
      </c>
      <c r="P187">
        <v>0</v>
      </c>
      <c r="Q187">
        <v>279750</v>
      </c>
      <c r="R187">
        <v>0</v>
      </c>
      <c r="S187">
        <v>37807</v>
      </c>
      <c r="T187">
        <v>0</v>
      </c>
      <c r="U187">
        <v>0</v>
      </c>
      <c r="V187">
        <v>0</v>
      </c>
      <c r="W187">
        <v>0</v>
      </c>
      <c r="X187">
        <v>0</v>
      </c>
      <c r="Y187">
        <v>88540</v>
      </c>
      <c r="Z187">
        <v>0</v>
      </c>
      <c r="AA187">
        <v>0</v>
      </c>
      <c r="AB187">
        <v>0</v>
      </c>
      <c r="AC187">
        <v>0</v>
      </c>
      <c r="AD187">
        <v>0</v>
      </c>
      <c r="AE187">
        <v>0</v>
      </c>
      <c r="AF187">
        <v>1316258</v>
      </c>
      <c r="AG187">
        <v>0</v>
      </c>
      <c r="AH187">
        <v>0</v>
      </c>
      <c r="AI187">
        <v>0</v>
      </c>
      <c r="AJ187">
        <v>0</v>
      </c>
      <c r="AK187">
        <v>0</v>
      </c>
      <c r="AL187">
        <v>0</v>
      </c>
      <c r="AM187">
        <v>0</v>
      </c>
      <c r="AN187">
        <v>0</v>
      </c>
      <c r="AO187">
        <v>0</v>
      </c>
      <c r="AP187">
        <v>335735</v>
      </c>
      <c r="AQ187">
        <v>0</v>
      </c>
      <c r="AR187">
        <v>0</v>
      </c>
      <c r="AS187">
        <v>0</v>
      </c>
      <c r="AT187">
        <v>0</v>
      </c>
      <c r="AU187">
        <v>0</v>
      </c>
      <c r="AV187">
        <v>4348342</v>
      </c>
      <c r="AW187">
        <v>0</v>
      </c>
      <c r="AX187">
        <v>0</v>
      </c>
      <c r="AY187">
        <v>0</v>
      </c>
      <c r="AZ187">
        <v>0</v>
      </c>
      <c r="BA187">
        <v>18687</v>
      </c>
      <c r="BB187">
        <v>0</v>
      </c>
      <c r="BC187">
        <v>0</v>
      </c>
      <c r="BD187">
        <v>0</v>
      </c>
      <c r="BE187">
        <v>0</v>
      </c>
      <c r="BF187">
        <v>0</v>
      </c>
      <c r="BG187">
        <v>0</v>
      </c>
      <c r="BH187">
        <v>0</v>
      </c>
      <c r="BI187">
        <v>0</v>
      </c>
      <c r="BJ187">
        <v>0</v>
      </c>
      <c r="BK187">
        <v>0</v>
      </c>
      <c r="BL187">
        <v>0</v>
      </c>
      <c r="BM187">
        <v>0</v>
      </c>
      <c r="BN187">
        <v>124071</v>
      </c>
      <c r="BO187">
        <v>0</v>
      </c>
      <c r="BP187">
        <v>1285007</v>
      </c>
      <c r="BQ187">
        <v>0</v>
      </c>
      <c r="BR187">
        <v>43681</v>
      </c>
      <c r="BS187">
        <v>0</v>
      </c>
      <c r="BT187">
        <v>0</v>
      </c>
      <c r="BU187">
        <v>60765</v>
      </c>
      <c r="BV187">
        <v>0</v>
      </c>
      <c r="BW187">
        <v>0</v>
      </c>
      <c r="BX187">
        <v>0</v>
      </c>
      <c r="BY187">
        <v>0</v>
      </c>
      <c r="BZ187">
        <v>44763</v>
      </c>
      <c r="CA187">
        <v>0</v>
      </c>
      <c r="CB187">
        <v>0</v>
      </c>
      <c r="CC187">
        <v>0</v>
      </c>
      <c r="CD187">
        <v>350028</v>
      </c>
    </row>
    <row r="188" spans="1:82" x14ac:dyDescent="0.3">
      <c r="A188" s="155">
        <v>644</v>
      </c>
      <c r="B188" s="551" t="s">
        <v>1590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row>
    <row r="189" spans="1:82" x14ac:dyDescent="0.3">
      <c r="A189" s="155">
        <v>645</v>
      </c>
      <c r="B189" t="s">
        <v>384</v>
      </c>
      <c r="D189">
        <v>0</v>
      </c>
      <c r="E189">
        <v>0</v>
      </c>
      <c r="F189">
        <v>0</v>
      </c>
      <c r="G189">
        <v>0</v>
      </c>
      <c r="H189">
        <v>21600</v>
      </c>
      <c r="I189">
        <v>0</v>
      </c>
      <c r="J189">
        <v>0</v>
      </c>
      <c r="K189">
        <v>0</v>
      </c>
      <c r="L189">
        <v>840637</v>
      </c>
      <c r="M189">
        <v>19012219</v>
      </c>
      <c r="N189">
        <v>0</v>
      </c>
      <c r="O189">
        <v>275597</v>
      </c>
      <c r="P189">
        <v>0</v>
      </c>
      <c r="Q189">
        <v>1000000</v>
      </c>
      <c r="R189">
        <v>0</v>
      </c>
      <c r="S189">
        <v>0</v>
      </c>
      <c r="T189">
        <v>0</v>
      </c>
      <c r="U189">
        <v>499380</v>
      </c>
      <c r="V189">
        <v>150633</v>
      </c>
      <c r="W189">
        <v>0</v>
      </c>
      <c r="X189">
        <v>0</v>
      </c>
      <c r="Y189">
        <v>29020</v>
      </c>
      <c r="Z189">
        <v>811002</v>
      </c>
      <c r="AA189">
        <v>0</v>
      </c>
      <c r="AB189">
        <v>28375</v>
      </c>
      <c r="AC189">
        <v>1271062</v>
      </c>
      <c r="AD189">
        <v>300663</v>
      </c>
      <c r="AE189">
        <v>0</v>
      </c>
      <c r="AF189">
        <v>1986850</v>
      </c>
      <c r="AG189">
        <v>170727</v>
      </c>
      <c r="AH189">
        <v>0</v>
      </c>
      <c r="AI189">
        <v>815978</v>
      </c>
      <c r="AJ189">
        <v>0</v>
      </c>
      <c r="AK189">
        <v>0</v>
      </c>
      <c r="AL189">
        <v>0</v>
      </c>
      <c r="AM189">
        <v>0</v>
      </c>
      <c r="AN189">
        <v>1197900</v>
      </c>
      <c r="AO189">
        <v>0</v>
      </c>
      <c r="AP189">
        <v>297076</v>
      </c>
      <c r="AQ189">
        <v>0</v>
      </c>
      <c r="AR189">
        <v>0</v>
      </c>
      <c r="AS189">
        <v>0</v>
      </c>
      <c r="AT189">
        <v>0</v>
      </c>
      <c r="AU189">
        <v>24153012</v>
      </c>
      <c r="AV189">
        <v>150000</v>
      </c>
      <c r="AW189">
        <v>0</v>
      </c>
      <c r="AX189">
        <v>3105</v>
      </c>
      <c r="AY189">
        <v>0</v>
      </c>
      <c r="AZ189">
        <v>0</v>
      </c>
      <c r="BA189">
        <v>58959</v>
      </c>
      <c r="BB189">
        <v>1367772</v>
      </c>
      <c r="BC189">
        <v>0</v>
      </c>
      <c r="BD189">
        <v>12307</v>
      </c>
      <c r="BE189">
        <v>15959</v>
      </c>
      <c r="BF189">
        <v>0</v>
      </c>
      <c r="BG189">
        <v>0</v>
      </c>
      <c r="BH189">
        <v>3094713</v>
      </c>
      <c r="BI189">
        <v>0</v>
      </c>
      <c r="BJ189">
        <v>0</v>
      </c>
      <c r="BK189">
        <v>0</v>
      </c>
      <c r="BL189">
        <v>3518400</v>
      </c>
      <c r="BM189">
        <v>1666590</v>
      </c>
      <c r="BN189">
        <v>0</v>
      </c>
      <c r="BO189">
        <v>2241760</v>
      </c>
      <c r="BP189">
        <v>654953</v>
      </c>
      <c r="BQ189">
        <v>0</v>
      </c>
      <c r="BR189">
        <v>1867237</v>
      </c>
      <c r="BS189">
        <v>148343</v>
      </c>
      <c r="BT189">
        <v>743842</v>
      </c>
      <c r="BU189">
        <v>0</v>
      </c>
      <c r="BV189">
        <v>0</v>
      </c>
      <c r="BW189">
        <v>183901</v>
      </c>
      <c r="BX189">
        <v>0</v>
      </c>
      <c r="BY189">
        <v>0</v>
      </c>
      <c r="BZ189">
        <v>74530</v>
      </c>
      <c r="CA189">
        <v>520875</v>
      </c>
      <c r="CB189">
        <v>0</v>
      </c>
      <c r="CC189">
        <v>162061</v>
      </c>
      <c r="CD189">
        <v>5275915</v>
      </c>
    </row>
    <row r="190" spans="1:82" x14ac:dyDescent="0.3">
      <c r="A190" s="155">
        <v>646</v>
      </c>
      <c r="B190" t="s">
        <v>359</v>
      </c>
      <c r="D190">
        <v>481125</v>
      </c>
      <c r="E190">
        <v>765756</v>
      </c>
      <c r="F190">
        <v>430872</v>
      </c>
      <c r="G190">
        <v>1129406</v>
      </c>
      <c r="H190">
        <v>903732</v>
      </c>
      <c r="I190">
        <v>161007</v>
      </c>
      <c r="J190">
        <v>104070</v>
      </c>
      <c r="K190">
        <v>394157</v>
      </c>
      <c r="L190">
        <v>731008</v>
      </c>
      <c r="M190">
        <v>22577314</v>
      </c>
      <c r="N190">
        <v>3313378</v>
      </c>
      <c r="O190">
        <v>5774110</v>
      </c>
      <c r="P190">
        <v>140999</v>
      </c>
      <c r="Q190">
        <v>367807</v>
      </c>
      <c r="R190">
        <v>162878</v>
      </c>
      <c r="S190">
        <v>600440</v>
      </c>
      <c r="T190">
        <v>1330267</v>
      </c>
      <c r="U190">
        <v>663171</v>
      </c>
      <c r="V190">
        <v>4786498</v>
      </c>
      <c r="W190">
        <v>488211</v>
      </c>
      <c r="X190">
        <v>612042</v>
      </c>
      <c r="Y190">
        <v>162970</v>
      </c>
      <c r="Z190">
        <v>27632730</v>
      </c>
      <c r="AA190">
        <v>5276031</v>
      </c>
      <c r="AB190">
        <v>1163479</v>
      </c>
      <c r="AC190">
        <v>13690424</v>
      </c>
      <c r="AD190">
        <v>579507</v>
      </c>
      <c r="AE190">
        <v>677768</v>
      </c>
      <c r="AF190">
        <v>31302060</v>
      </c>
      <c r="AG190">
        <v>878896</v>
      </c>
      <c r="AH190">
        <v>280518</v>
      </c>
      <c r="AI190">
        <v>1627780</v>
      </c>
      <c r="AJ190">
        <v>942645</v>
      </c>
      <c r="AK190">
        <v>66756</v>
      </c>
      <c r="AL190">
        <v>12220201</v>
      </c>
      <c r="AM190">
        <v>605421</v>
      </c>
      <c r="AN190">
        <v>10083559</v>
      </c>
      <c r="AO190">
        <v>105734</v>
      </c>
      <c r="AP190">
        <v>5354467</v>
      </c>
      <c r="AQ190">
        <v>2332082</v>
      </c>
      <c r="AR190">
        <v>268499</v>
      </c>
      <c r="AS190">
        <v>1470721</v>
      </c>
      <c r="AT190">
        <v>961847</v>
      </c>
      <c r="AU190">
        <v>33471586</v>
      </c>
      <c r="AV190">
        <v>18552063</v>
      </c>
      <c r="AW190">
        <v>1277966</v>
      </c>
      <c r="AX190">
        <v>145651</v>
      </c>
      <c r="AY190">
        <v>386600</v>
      </c>
      <c r="AZ190">
        <v>132456</v>
      </c>
      <c r="BA190">
        <v>956740</v>
      </c>
      <c r="BB190">
        <v>2606087</v>
      </c>
      <c r="BC190">
        <v>1300633</v>
      </c>
      <c r="BD190">
        <v>216973</v>
      </c>
      <c r="BE190">
        <v>116104</v>
      </c>
      <c r="BF190">
        <v>5891413</v>
      </c>
      <c r="BG190">
        <v>33085</v>
      </c>
      <c r="BH190">
        <v>9221353</v>
      </c>
      <c r="BI190">
        <v>900525</v>
      </c>
      <c r="BJ190">
        <v>518528</v>
      </c>
      <c r="BK190">
        <v>511269</v>
      </c>
      <c r="BL190">
        <v>5490030</v>
      </c>
      <c r="BM190">
        <v>4048193</v>
      </c>
      <c r="BN190">
        <v>1264967</v>
      </c>
      <c r="BO190">
        <v>15261159</v>
      </c>
      <c r="BP190">
        <v>21016698</v>
      </c>
      <c r="BQ190">
        <v>310145</v>
      </c>
      <c r="BR190">
        <v>1941519</v>
      </c>
      <c r="BS190">
        <v>1405447</v>
      </c>
      <c r="BT190">
        <v>8074649</v>
      </c>
      <c r="BU190">
        <v>262263</v>
      </c>
      <c r="BV190">
        <v>574044</v>
      </c>
      <c r="BW190">
        <v>3761091</v>
      </c>
      <c r="BX190">
        <v>2480875</v>
      </c>
      <c r="BY190">
        <v>10838024</v>
      </c>
      <c r="BZ190">
        <v>63358</v>
      </c>
      <c r="CA190">
        <v>5823452</v>
      </c>
      <c r="CB190">
        <v>784703</v>
      </c>
      <c r="CC190">
        <v>2079153</v>
      </c>
      <c r="CD190">
        <v>20271332</v>
      </c>
    </row>
    <row r="191" spans="1:82" x14ac:dyDescent="0.3">
      <c r="A191" s="155">
        <v>647</v>
      </c>
      <c r="B191" t="s">
        <v>909</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1492052</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1506925</v>
      </c>
      <c r="AV191">
        <v>1182644</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11221462</v>
      </c>
      <c r="BQ191">
        <v>0</v>
      </c>
      <c r="BR191">
        <v>0</v>
      </c>
      <c r="BS191">
        <v>0</v>
      </c>
      <c r="BT191">
        <v>0</v>
      </c>
      <c r="BU191">
        <v>0</v>
      </c>
      <c r="BV191">
        <v>0</v>
      </c>
      <c r="BW191">
        <v>0</v>
      </c>
      <c r="BX191">
        <v>0</v>
      </c>
      <c r="BY191">
        <v>9564903</v>
      </c>
      <c r="BZ191">
        <v>0</v>
      </c>
      <c r="CA191">
        <v>0</v>
      </c>
      <c r="CB191">
        <v>0</v>
      </c>
      <c r="CC191">
        <v>0</v>
      </c>
      <c r="CD191">
        <v>0</v>
      </c>
    </row>
    <row r="192" spans="1:82" x14ac:dyDescent="0.3">
      <c r="A192" s="155">
        <v>648</v>
      </c>
      <c r="B192" t="s">
        <v>597</v>
      </c>
      <c r="D192">
        <v>0.65</v>
      </c>
      <c r="E192">
        <v>0.73</v>
      </c>
      <c r="F192">
        <v>0.02</v>
      </c>
      <c r="G192">
        <v>0.56000000000000005</v>
      </c>
      <c r="H192">
        <v>0.41</v>
      </c>
      <c r="I192">
        <v>0.22</v>
      </c>
      <c r="J192">
        <v>0</v>
      </c>
      <c r="K192">
        <v>0.05</v>
      </c>
      <c r="L192">
        <v>0.49</v>
      </c>
      <c r="M192">
        <v>0.4995</v>
      </c>
      <c r="N192">
        <v>0.13</v>
      </c>
      <c r="O192">
        <v>0.34</v>
      </c>
      <c r="P192">
        <v>0.55400000000000005</v>
      </c>
      <c r="Q192">
        <v>0.28000000000000003</v>
      </c>
      <c r="R192">
        <v>0.15</v>
      </c>
      <c r="S192">
        <v>0.58750000000000002</v>
      </c>
      <c r="T192">
        <v>0</v>
      </c>
      <c r="U192">
        <v>0.38</v>
      </c>
      <c r="V192">
        <v>0.32</v>
      </c>
      <c r="W192">
        <v>0.71</v>
      </c>
      <c r="X192">
        <v>0.45500000000000002</v>
      </c>
      <c r="Y192">
        <v>0</v>
      </c>
      <c r="Z192">
        <v>0.39500000000000002</v>
      </c>
      <c r="AA192">
        <v>0</v>
      </c>
      <c r="AB192">
        <v>0.72</v>
      </c>
      <c r="AC192">
        <v>0.5121</v>
      </c>
      <c r="AD192">
        <v>0.6</v>
      </c>
      <c r="AE192">
        <v>0.55000000000000004</v>
      </c>
      <c r="AF192">
        <v>0.52</v>
      </c>
      <c r="AG192">
        <v>0</v>
      </c>
      <c r="AH192">
        <v>0.68</v>
      </c>
      <c r="AI192">
        <v>0.53</v>
      </c>
      <c r="AJ192">
        <v>0.34</v>
      </c>
      <c r="AK192">
        <v>0</v>
      </c>
      <c r="AL192">
        <v>0.68</v>
      </c>
      <c r="AM192">
        <v>0.22</v>
      </c>
      <c r="AN192">
        <v>0</v>
      </c>
      <c r="AO192">
        <v>0</v>
      </c>
      <c r="AP192">
        <v>0.45</v>
      </c>
      <c r="AQ192">
        <v>0</v>
      </c>
      <c r="AR192">
        <v>0.05</v>
      </c>
      <c r="AS192">
        <v>0.36</v>
      </c>
      <c r="AT192">
        <v>0.3</v>
      </c>
      <c r="AU192">
        <v>0.66249999999999998</v>
      </c>
      <c r="AV192">
        <v>0.48949999999999999</v>
      </c>
      <c r="AW192">
        <v>0.63</v>
      </c>
      <c r="AX192">
        <v>0</v>
      </c>
      <c r="AY192">
        <v>4.4999999999999998E-2</v>
      </c>
      <c r="AZ192">
        <v>66</v>
      </c>
      <c r="BA192">
        <v>0.56999999999999995</v>
      </c>
      <c r="BB192">
        <v>0.76</v>
      </c>
      <c r="BC192">
        <v>0</v>
      </c>
      <c r="BD192">
        <v>0.19</v>
      </c>
      <c r="BE192">
        <v>0.35</v>
      </c>
      <c r="BF192">
        <v>0.35499999999999998</v>
      </c>
      <c r="BG192">
        <v>0.25</v>
      </c>
      <c r="BH192">
        <v>0.59</v>
      </c>
      <c r="BI192">
        <v>0.63</v>
      </c>
      <c r="BJ192">
        <v>0.26500000000000001</v>
      </c>
      <c r="BK192">
        <v>0</v>
      </c>
      <c r="BL192">
        <v>0.71199999999999997</v>
      </c>
      <c r="BM192">
        <v>0.52</v>
      </c>
      <c r="BN192">
        <v>0.55500000000000005</v>
      </c>
      <c r="BO192">
        <v>0</v>
      </c>
      <c r="BP192">
        <v>0.64749999999999996</v>
      </c>
      <c r="BQ192">
        <v>0.41</v>
      </c>
      <c r="BR192">
        <v>0</v>
      </c>
      <c r="BS192">
        <v>0.15</v>
      </c>
      <c r="BT192">
        <v>0.58699999999999997</v>
      </c>
      <c r="BU192">
        <v>0.72</v>
      </c>
      <c r="BV192">
        <v>0.2</v>
      </c>
      <c r="BW192">
        <v>0</v>
      </c>
      <c r="BX192">
        <v>0</v>
      </c>
      <c r="BY192">
        <v>0.42159999999999997</v>
      </c>
      <c r="BZ192">
        <v>0</v>
      </c>
      <c r="CA192">
        <v>0</v>
      </c>
      <c r="CB192">
        <v>0.48</v>
      </c>
      <c r="CC192">
        <v>0.43</v>
      </c>
      <c r="CD192">
        <v>0.24</v>
      </c>
    </row>
    <row r="193" spans="1:82" x14ac:dyDescent="0.3">
      <c r="A193" s="155">
        <v>654</v>
      </c>
      <c r="B193" t="s">
        <v>413</v>
      </c>
      <c r="D193">
        <v>420446</v>
      </c>
      <c r="E193">
        <v>465570</v>
      </c>
      <c r="F193">
        <v>0</v>
      </c>
      <c r="G193">
        <v>1154762</v>
      </c>
      <c r="H193">
        <v>807027</v>
      </c>
      <c r="I193">
        <v>158076</v>
      </c>
      <c r="J193">
        <v>0</v>
      </c>
      <c r="K193">
        <v>408918</v>
      </c>
      <c r="L193">
        <v>4523938</v>
      </c>
      <c r="M193">
        <v>0</v>
      </c>
      <c r="N193">
        <v>0</v>
      </c>
      <c r="O193">
        <v>0</v>
      </c>
      <c r="P193">
        <v>49195</v>
      </c>
      <c r="Q193">
        <v>8570023</v>
      </c>
      <c r="R193">
        <v>0</v>
      </c>
      <c r="S193">
        <v>420879</v>
      </c>
      <c r="T193">
        <v>1606325</v>
      </c>
      <c r="U193">
        <v>1270975</v>
      </c>
      <c r="V193">
        <v>8399430</v>
      </c>
      <c r="W193">
        <v>0</v>
      </c>
      <c r="X193">
        <v>441918</v>
      </c>
      <c r="Y193">
        <v>510413</v>
      </c>
      <c r="Z193">
        <v>43990471</v>
      </c>
      <c r="AA193">
        <v>50060</v>
      </c>
      <c r="AB193">
        <v>764007</v>
      </c>
      <c r="AC193">
        <v>0</v>
      </c>
      <c r="AD193">
        <v>0</v>
      </c>
      <c r="AE193">
        <v>0</v>
      </c>
      <c r="AF193">
        <v>37006489</v>
      </c>
      <c r="AG193">
        <v>1864</v>
      </c>
      <c r="AH193">
        <v>115131</v>
      </c>
      <c r="AI193">
        <v>3649782</v>
      </c>
      <c r="AJ193">
        <v>104633</v>
      </c>
      <c r="AK193">
        <v>73624</v>
      </c>
      <c r="AL193">
        <v>19680816</v>
      </c>
      <c r="AM193">
        <v>326895</v>
      </c>
      <c r="AN193">
        <v>14143589</v>
      </c>
      <c r="AO193">
        <v>0</v>
      </c>
      <c r="AP193">
        <v>3198756</v>
      </c>
      <c r="AQ193">
        <v>0</v>
      </c>
      <c r="AR193">
        <v>0</v>
      </c>
      <c r="AS193">
        <v>1660010</v>
      </c>
      <c r="AT193">
        <v>342093</v>
      </c>
      <c r="AU193">
        <v>67407186</v>
      </c>
      <c r="AV193">
        <v>48237109</v>
      </c>
      <c r="AW193">
        <v>1130226</v>
      </c>
      <c r="AX193">
        <v>344153</v>
      </c>
      <c r="AY193">
        <v>384903</v>
      </c>
      <c r="AZ193">
        <v>0</v>
      </c>
      <c r="BA193">
        <v>0</v>
      </c>
      <c r="BB193">
        <v>4691496</v>
      </c>
      <c r="BC193">
        <v>449485</v>
      </c>
      <c r="BD193">
        <v>0</v>
      </c>
      <c r="BE193">
        <v>176423</v>
      </c>
      <c r="BF193">
        <v>11842650</v>
      </c>
      <c r="BG193">
        <v>0</v>
      </c>
      <c r="BH193">
        <v>10983012</v>
      </c>
      <c r="BI193">
        <v>1108388</v>
      </c>
      <c r="BJ193">
        <v>0</v>
      </c>
      <c r="BK193">
        <v>0</v>
      </c>
      <c r="BL193">
        <v>39405477</v>
      </c>
      <c r="BM193">
        <v>19055453</v>
      </c>
      <c r="BN193">
        <v>1187416</v>
      </c>
      <c r="BO193">
        <v>39455137</v>
      </c>
      <c r="BP193">
        <v>46880746</v>
      </c>
      <c r="BQ193">
        <v>299314</v>
      </c>
      <c r="BR193">
        <v>2789200</v>
      </c>
      <c r="BS193">
        <v>0</v>
      </c>
      <c r="BT193">
        <v>24319409</v>
      </c>
      <c r="BU193">
        <v>311135</v>
      </c>
      <c r="BV193">
        <v>28643</v>
      </c>
      <c r="BW193">
        <v>4944329</v>
      </c>
      <c r="BX193">
        <v>0</v>
      </c>
      <c r="BY193">
        <v>66530639</v>
      </c>
      <c r="BZ193">
        <v>740999</v>
      </c>
      <c r="CA193">
        <v>0</v>
      </c>
      <c r="CB193">
        <v>363881</v>
      </c>
      <c r="CC193">
        <v>0</v>
      </c>
      <c r="CD193">
        <v>0</v>
      </c>
    </row>
    <row r="194" spans="1:82" x14ac:dyDescent="0.3">
      <c r="A194" s="155">
        <v>655</v>
      </c>
      <c r="B194" t="s">
        <v>910</v>
      </c>
      <c r="D194">
        <v>53712</v>
      </c>
      <c r="E194">
        <v>0</v>
      </c>
      <c r="F194">
        <v>0</v>
      </c>
      <c r="G194">
        <v>42368</v>
      </c>
      <c r="H194">
        <v>106860</v>
      </c>
      <c r="I194">
        <v>20903</v>
      </c>
      <c r="J194">
        <v>0</v>
      </c>
      <c r="K194">
        <v>71799</v>
      </c>
      <c r="L194">
        <v>715491</v>
      </c>
      <c r="M194">
        <v>0</v>
      </c>
      <c r="N194">
        <v>0</v>
      </c>
      <c r="O194">
        <v>0</v>
      </c>
      <c r="P194">
        <v>1300</v>
      </c>
      <c r="Q194">
        <v>120280</v>
      </c>
      <c r="R194">
        <v>0</v>
      </c>
      <c r="S194">
        <v>22120</v>
      </c>
      <c r="T194">
        <v>56795</v>
      </c>
      <c r="U194">
        <v>10497</v>
      </c>
      <c r="V194">
        <v>43170</v>
      </c>
      <c r="W194">
        <v>0</v>
      </c>
      <c r="X194">
        <v>59543</v>
      </c>
      <c r="Y194">
        <v>103561</v>
      </c>
      <c r="Z194">
        <v>4614609</v>
      </c>
      <c r="AA194">
        <v>0</v>
      </c>
      <c r="AB194">
        <v>48149</v>
      </c>
      <c r="AC194">
        <v>0</v>
      </c>
      <c r="AD194">
        <v>0</v>
      </c>
      <c r="AE194">
        <v>0</v>
      </c>
      <c r="AF194">
        <v>5484854</v>
      </c>
      <c r="AG194">
        <v>1478</v>
      </c>
      <c r="AH194">
        <v>18011</v>
      </c>
      <c r="AI194">
        <v>66903</v>
      </c>
      <c r="AJ194">
        <v>0</v>
      </c>
      <c r="AK194">
        <v>7150</v>
      </c>
      <c r="AL194">
        <v>1519843</v>
      </c>
      <c r="AM194">
        <v>0</v>
      </c>
      <c r="AN194">
        <v>925501</v>
      </c>
      <c r="AO194">
        <v>0</v>
      </c>
      <c r="AP194">
        <v>119821</v>
      </c>
      <c r="AQ194">
        <v>0</v>
      </c>
      <c r="AR194">
        <v>0</v>
      </c>
      <c r="AS194">
        <v>64748</v>
      </c>
      <c r="AT194">
        <v>21587</v>
      </c>
      <c r="AU194">
        <v>0</v>
      </c>
      <c r="AV194">
        <v>32642806</v>
      </c>
      <c r="AW194">
        <v>212502</v>
      </c>
      <c r="AX194">
        <v>65102</v>
      </c>
      <c r="AY194">
        <v>305935</v>
      </c>
      <c r="AZ194">
        <v>0</v>
      </c>
      <c r="BA194">
        <v>66197</v>
      </c>
      <c r="BB194">
        <v>0</v>
      </c>
      <c r="BC194">
        <v>50715</v>
      </c>
      <c r="BD194">
        <v>0</v>
      </c>
      <c r="BE194">
        <v>0</v>
      </c>
      <c r="BF194">
        <v>382968</v>
      </c>
      <c r="BG194">
        <v>0</v>
      </c>
      <c r="BH194">
        <v>406721</v>
      </c>
      <c r="BI194">
        <v>107527</v>
      </c>
      <c r="BJ194">
        <v>0</v>
      </c>
      <c r="BK194">
        <v>0</v>
      </c>
      <c r="BL194">
        <v>1937076</v>
      </c>
      <c r="BM194">
        <v>4126661</v>
      </c>
      <c r="BN194">
        <v>0</v>
      </c>
      <c r="BO194">
        <v>695275</v>
      </c>
      <c r="BP194">
        <v>0</v>
      </c>
      <c r="BQ194">
        <v>20785</v>
      </c>
      <c r="BR194">
        <v>885</v>
      </c>
      <c r="BS194">
        <v>0</v>
      </c>
      <c r="BT194">
        <v>10634242</v>
      </c>
      <c r="BU194">
        <v>18145</v>
      </c>
      <c r="BV194">
        <v>2875</v>
      </c>
      <c r="BW194">
        <v>2658371</v>
      </c>
      <c r="BX194">
        <v>0</v>
      </c>
      <c r="BY194">
        <v>6901683</v>
      </c>
      <c r="BZ194">
        <v>725</v>
      </c>
      <c r="CA194">
        <v>0</v>
      </c>
      <c r="CB194">
        <v>11665</v>
      </c>
      <c r="CC194">
        <v>0</v>
      </c>
      <c r="CD194">
        <v>0</v>
      </c>
    </row>
    <row r="195" spans="1:82" x14ac:dyDescent="0.3">
      <c r="A195" s="155">
        <v>656</v>
      </c>
      <c r="B195" t="s">
        <v>419</v>
      </c>
      <c r="D195">
        <v>0</v>
      </c>
      <c r="E195">
        <v>2</v>
      </c>
      <c r="F195">
        <v>0</v>
      </c>
      <c r="G195">
        <v>0</v>
      </c>
      <c r="H195">
        <v>0</v>
      </c>
      <c r="I195">
        <v>2</v>
      </c>
      <c r="J195">
        <v>0</v>
      </c>
      <c r="K195">
        <v>0</v>
      </c>
      <c r="L195">
        <v>2</v>
      </c>
      <c r="M195">
        <v>2</v>
      </c>
      <c r="N195">
        <v>0</v>
      </c>
      <c r="O195">
        <v>0</v>
      </c>
      <c r="P195">
        <v>2</v>
      </c>
      <c r="Q195">
        <v>2</v>
      </c>
      <c r="R195">
        <v>0</v>
      </c>
      <c r="S195">
        <v>2</v>
      </c>
      <c r="T195">
        <v>2</v>
      </c>
      <c r="U195">
        <v>2</v>
      </c>
      <c r="V195">
        <v>2</v>
      </c>
      <c r="W195">
        <v>2</v>
      </c>
      <c r="X195">
        <v>2</v>
      </c>
      <c r="Y195">
        <v>2</v>
      </c>
      <c r="Z195">
        <v>0</v>
      </c>
      <c r="AA195">
        <v>2</v>
      </c>
      <c r="AB195">
        <v>2</v>
      </c>
      <c r="AC195">
        <v>0</v>
      </c>
      <c r="AD195">
        <v>2</v>
      </c>
      <c r="AE195">
        <v>0</v>
      </c>
      <c r="AF195">
        <v>2</v>
      </c>
      <c r="AG195">
        <v>2</v>
      </c>
      <c r="AH195">
        <v>2</v>
      </c>
      <c r="AI195">
        <v>0</v>
      </c>
      <c r="AJ195">
        <v>2</v>
      </c>
      <c r="AK195">
        <v>0</v>
      </c>
      <c r="AL195">
        <v>2</v>
      </c>
      <c r="AM195">
        <v>2</v>
      </c>
      <c r="AN195">
        <v>2</v>
      </c>
      <c r="AO195">
        <v>2</v>
      </c>
      <c r="AP195">
        <v>2</v>
      </c>
      <c r="AQ195">
        <v>1</v>
      </c>
      <c r="AR195">
        <v>2</v>
      </c>
      <c r="AS195">
        <v>2</v>
      </c>
      <c r="AT195">
        <v>0</v>
      </c>
      <c r="AU195">
        <v>1</v>
      </c>
      <c r="AV195">
        <v>0</v>
      </c>
      <c r="AW195">
        <v>0</v>
      </c>
      <c r="AX195">
        <v>0</v>
      </c>
      <c r="AY195">
        <v>0</v>
      </c>
      <c r="AZ195">
        <v>0</v>
      </c>
      <c r="BA195">
        <v>2</v>
      </c>
      <c r="BB195">
        <v>2</v>
      </c>
      <c r="BC195">
        <v>2</v>
      </c>
      <c r="BD195">
        <v>0</v>
      </c>
      <c r="BE195">
        <v>0</v>
      </c>
      <c r="BF195">
        <v>2</v>
      </c>
      <c r="BG195">
        <v>0</v>
      </c>
      <c r="BH195">
        <v>2</v>
      </c>
      <c r="BI195">
        <v>0</v>
      </c>
      <c r="BJ195">
        <v>2</v>
      </c>
      <c r="BK195">
        <v>0</v>
      </c>
      <c r="BL195">
        <v>2</v>
      </c>
      <c r="BM195">
        <v>2</v>
      </c>
      <c r="BN195">
        <v>2</v>
      </c>
      <c r="BO195">
        <v>2</v>
      </c>
      <c r="BP195">
        <v>2</v>
      </c>
      <c r="BQ195">
        <v>2</v>
      </c>
      <c r="BR195">
        <v>2</v>
      </c>
      <c r="BS195">
        <v>0</v>
      </c>
      <c r="BT195">
        <v>2</v>
      </c>
      <c r="BU195">
        <v>2</v>
      </c>
      <c r="BV195">
        <v>2</v>
      </c>
      <c r="BW195">
        <v>0</v>
      </c>
      <c r="BX195">
        <v>0</v>
      </c>
      <c r="BY195">
        <v>2</v>
      </c>
      <c r="BZ195">
        <v>0</v>
      </c>
      <c r="CA195">
        <v>2</v>
      </c>
      <c r="CB195">
        <v>2</v>
      </c>
      <c r="CC195">
        <v>2</v>
      </c>
      <c r="CD195">
        <v>1</v>
      </c>
    </row>
    <row r="196" spans="1:82" x14ac:dyDescent="0.3">
      <c r="A196" s="155">
        <v>657</v>
      </c>
      <c r="B196" s="551" t="s">
        <v>911</v>
      </c>
      <c r="D196">
        <v>0</v>
      </c>
      <c r="E196">
        <v>0</v>
      </c>
      <c r="F196">
        <v>0</v>
      </c>
      <c r="G196">
        <v>0</v>
      </c>
      <c r="H196">
        <v>0</v>
      </c>
      <c r="I196">
        <v>0</v>
      </c>
      <c r="J196">
        <v>0</v>
      </c>
      <c r="K196">
        <v>0</v>
      </c>
      <c r="L196">
        <v>1829178</v>
      </c>
      <c r="M196">
        <v>0</v>
      </c>
      <c r="N196">
        <v>0</v>
      </c>
      <c r="O196">
        <v>0</v>
      </c>
      <c r="P196">
        <v>0</v>
      </c>
      <c r="Q196">
        <v>3115502</v>
      </c>
      <c r="R196">
        <v>0</v>
      </c>
      <c r="S196">
        <v>1128736</v>
      </c>
      <c r="T196">
        <v>0</v>
      </c>
      <c r="U196">
        <v>0</v>
      </c>
      <c r="V196">
        <v>0</v>
      </c>
      <c r="W196">
        <v>0</v>
      </c>
      <c r="X196">
        <v>0</v>
      </c>
      <c r="Y196">
        <v>683353</v>
      </c>
      <c r="Z196">
        <v>0</v>
      </c>
      <c r="AA196">
        <v>0</v>
      </c>
      <c r="AB196">
        <v>0</v>
      </c>
      <c r="AC196">
        <v>0</v>
      </c>
      <c r="AD196">
        <v>0</v>
      </c>
      <c r="AE196">
        <v>0</v>
      </c>
      <c r="AF196">
        <v>62827729</v>
      </c>
      <c r="AG196">
        <v>0</v>
      </c>
      <c r="AH196">
        <v>0</v>
      </c>
      <c r="AI196">
        <v>0</v>
      </c>
      <c r="AJ196">
        <v>0</v>
      </c>
      <c r="AK196">
        <v>0</v>
      </c>
      <c r="AL196">
        <v>0</v>
      </c>
      <c r="AM196">
        <v>0</v>
      </c>
      <c r="AN196">
        <v>0</v>
      </c>
      <c r="AO196">
        <v>0</v>
      </c>
      <c r="AP196">
        <v>8251456</v>
      </c>
      <c r="AQ196">
        <v>0</v>
      </c>
      <c r="AR196">
        <v>0</v>
      </c>
      <c r="AS196">
        <v>0</v>
      </c>
      <c r="AT196">
        <v>0</v>
      </c>
      <c r="AU196">
        <v>0</v>
      </c>
      <c r="AV196">
        <v>103624431</v>
      </c>
      <c r="AW196">
        <v>0</v>
      </c>
      <c r="AX196">
        <v>0</v>
      </c>
      <c r="AY196">
        <v>0</v>
      </c>
      <c r="AZ196">
        <v>0</v>
      </c>
      <c r="BA196">
        <v>580441</v>
      </c>
      <c r="BB196">
        <v>0</v>
      </c>
      <c r="BC196">
        <v>0</v>
      </c>
      <c r="BD196">
        <v>0</v>
      </c>
      <c r="BE196">
        <v>0</v>
      </c>
      <c r="BF196">
        <v>0</v>
      </c>
      <c r="BG196">
        <v>0</v>
      </c>
      <c r="BH196">
        <v>0</v>
      </c>
      <c r="BI196">
        <v>0</v>
      </c>
      <c r="BJ196">
        <v>0</v>
      </c>
      <c r="BK196">
        <v>0</v>
      </c>
      <c r="BL196">
        <v>0</v>
      </c>
      <c r="BM196">
        <v>0</v>
      </c>
      <c r="BN196">
        <v>1796795</v>
      </c>
      <c r="BO196">
        <v>0</v>
      </c>
      <c r="BP196">
        <v>87324343</v>
      </c>
      <c r="BQ196">
        <v>0</v>
      </c>
      <c r="BR196">
        <v>9096990</v>
      </c>
      <c r="BS196">
        <v>0</v>
      </c>
      <c r="BT196">
        <v>0</v>
      </c>
      <c r="BU196">
        <v>444835</v>
      </c>
      <c r="BV196">
        <v>0</v>
      </c>
      <c r="BW196">
        <v>0</v>
      </c>
      <c r="BX196">
        <v>0</v>
      </c>
      <c r="BY196">
        <v>0</v>
      </c>
      <c r="BZ196">
        <v>510759</v>
      </c>
      <c r="CA196">
        <v>0</v>
      </c>
      <c r="CB196">
        <v>0</v>
      </c>
      <c r="CC196">
        <v>0</v>
      </c>
      <c r="CD196">
        <v>10069615</v>
      </c>
    </row>
    <row r="197" spans="1:82" x14ac:dyDescent="0.3">
      <c r="A197" s="155">
        <v>658</v>
      </c>
      <c r="B197" s="551" t="s">
        <v>912</v>
      </c>
      <c r="D197">
        <v>0</v>
      </c>
      <c r="E197">
        <v>0</v>
      </c>
      <c r="F197">
        <v>0</v>
      </c>
      <c r="G197">
        <v>0</v>
      </c>
      <c r="H197">
        <v>0</v>
      </c>
      <c r="I197">
        <v>0</v>
      </c>
      <c r="J197">
        <v>0</v>
      </c>
      <c r="K197">
        <v>0</v>
      </c>
      <c r="L197">
        <v>200371</v>
      </c>
      <c r="M197">
        <v>0</v>
      </c>
      <c r="N197">
        <v>0</v>
      </c>
      <c r="O197">
        <v>0</v>
      </c>
      <c r="P197">
        <v>0</v>
      </c>
      <c r="Q197">
        <v>279750</v>
      </c>
      <c r="R197">
        <v>0</v>
      </c>
      <c r="S197">
        <v>37807</v>
      </c>
      <c r="T197">
        <v>0</v>
      </c>
      <c r="U197">
        <v>0</v>
      </c>
      <c r="V197">
        <v>0</v>
      </c>
      <c r="W197">
        <v>0</v>
      </c>
      <c r="X197">
        <v>0</v>
      </c>
      <c r="Y197">
        <v>88540</v>
      </c>
      <c r="Z197">
        <v>0</v>
      </c>
      <c r="AA197">
        <v>0</v>
      </c>
      <c r="AB197">
        <v>0</v>
      </c>
      <c r="AC197">
        <v>0</v>
      </c>
      <c r="AD197">
        <v>0</v>
      </c>
      <c r="AE197">
        <v>0</v>
      </c>
      <c r="AF197">
        <v>1316258</v>
      </c>
      <c r="AG197">
        <v>0</v>
      </c>
      <c r="AH197">
        <v>0</v>
      </c>
      <c r="AI197">
        <v>0</v>
      </c>
      <c r="AJ197">
        <v>0</v>
      </c>
      <c r="AK197">
        <v>0</v>
      </c>
      <c r="AL197">
        <v>0</v>
      </c>
      <c r="AM197">
        <v>0</v>
      </c>
      <c r="AN197">
        <v>0</v>
      </c>
      <c r="AO197">
        <v>0</v>
      </c>
      <c r="AP197">
        <v>335735</v>
      </c>
      <c r="AQ197">
        <v>0</v>
      </c>
      <c r="AR197">
        <v>0</v>
      </c>
      <c r="AS197">
        <v>0</v>
      </c>
      <c r="AT197">
        <v>0</v>
      </c>
      <c r="AU197">
        <v>0</v>
      </c>
      <c r="AV197">
        <v>60548648</v>
      </c>
      <c r="AW197">
        <v>0</v>
      </c>
      <c r="AX197">
        <v>0</v>
      </c>
      <c r="AY197">
        <v>0</v>
      </c>
      <c r="AZ197">
        <v>0</v>
      </c>
      <c r="BA197">
        <v>18687</v>
      </c>
      <c r="BB197">
        <v>0</v>
      </c>
      <c r="BC197">
        <v>0</v>
      </c>
      <c r="BD197">
        <v>0</v>
      </c>
      <c r="BE197">
        <v>0</v>
      </c>
      <c r="BF197">
        <v>0</v>
      </c>
      <c r="BG197">
        <v>0</v>
      </c>
      <c r="BH197">
        <v>0</v>
      </c>
      <c r="BI197">
        <v>0</v>
      </c>
      <c r="BJ197">
        <v>0</v>
      </c>
      <c r="BK197">
        <v>0</v>
      </c>
      <c r="BL197">
        <v>0</v>
      </c>
      <c r="BM197">
        <v>0</v>
      </c>
      <c r="BN197">
        <v>124071</v>
      </c>
      <c r="BO197">
        <v>0</v>
      </c>
      <c r="BP197">
        <v>0</v>
      </c>
      <c r="BQ197">
        <v>0</v>
      </c>
      <c r="BR197">
        <v>43681</v>
      </c>
      <c r="BS197">
        <v>0</v>
      </c>
      <c r="BT197">
        <v>0</v>
      </c>
      <c r="BU197">
        <v>60765</v>
      </c>
      <c r="BV197">
        <v>0</v>
      </c>
      <c r="BW197">
        <v>0</v>
      </c>
      <c r="BX197">
        <v>0</v>
      </c>
      <c r="BY197">
        <v>0</v>
      </c>
      <c r="BZ197">
        <v>44763</v>
      </c>
      <c r="CA197">
        <v>0</v>
      </c>
      <c r="CB197">
        <v>0</v>
      </c>
      <c r="CC197">
        <v>0</v>
      </c>
      <c r="CD197">
        <v>350028</v>
      </c>
    </row>
    <row r="198" spans="1:82" x14ac:dyDescent="0.3">
      <c r="A198" s="155">
        <v>659</v>
      </c>
      <c r="B198" t="s">
        <v>913</v>
      </c>
      <c r="D198">
        <v>0</v>
      </c>
      <c r="E198">
        <v>0</v>
      </c>
      <c r="F198">
        <v>0</v>
      </c>
      <c r="G198">
        <v>487496</v>
      </c>
      <c r="H198">
        <v>0</v>
      </c>
      <c r="I198">
        <v>0</v>
      </c>
      <c r="J198">
        <v>0</v>
      </c>
      <c r="K198">
        <v>0</v>
      </c>
      <c r="L198">
        <v>2810309</v>
      </c>
      <c r="M198">
        <v>55006905</v>
      </c>
      <c r="N198">
        <v>0</v>
      </c>
      <c r="O198">
        <v>50821</v>
      </c>
      <c r="P198">
        <v>0</v>
      </c>
      <c r="Q198">
        <v>0</v>
      </c>
      <c r="R198">
        <v>0</v>
      </c>
      <c r="S198">
        <v>0</v>
      </c>
      <c r="T198">
        <v>0</v>
      </c>
      <c r="U198">
        <v>0</v>
      </c>
      <c r="V198">
        <v>2323249</v>
      </c>
      <c r="W198">
        <v>0</v>
      </c>
      <c r="X198">
        <v>0</v>
      </c>
      <c r="Y198">
        <v>725535</v>
      </c>
      <c r="Z198">
        <v>4409064</v>
      </c>
      <c r="AA198">
        <v>0</v>
      </c>
      <c r="AB198">
        <v>0</v>
      </c>
      <c r="AC198">
        <v>19755588</v>
      </c>
      <c r="AD198">
        <v>0</v>
      </c>
      <c r="AE198">
        <v>0</v>
      </c>
      <c r="AF198">
        <v>65707214</v>
      </c>
      <c r="AG198">
        <v>0</v>
      </c>
      <c r="AH198">
        <v>0</v>
      </c>
      <c r="AI198">
        <v>737847</v>
      </c>
      <c r="AJ198">
        <v>0</v>
      </c>
      <c r="AK198">
        <v>0</v>
      </c>
      <c r="AL198">
        <v>7905531</v>
      </c>
      <c r="AM198">
        <v>0</v>
      </c>
      <c r="AN198">
        <v>15761719</v>
      </c>
      <c r="AO198">
        <v>0</v>
      </c>
      <c r="AP198">
        <v>125782</v>
      </c>
      <c r="AQ198">
        <v>0</v>
      </c>
      <c r="AR198">
        <v>0</v>
      </c>
      <c r="AS198">
        <v>0</v>
      </c>
      <c r="AT198">
        <v>0</v>
      </c>
      <c r="AU198">
        <v>148864695</v>
      </c>
      <c r="AV198">
        <v>69584832</v>
      </c>
      <c r="AW198">
        <v>0</v>
      </c>
      <c r="AX198">
        <v>0</v>
      </c>
      <c r="AY198">
        <v>0</v>
      </c>
      <c r="AZ198">
        <v>0</v>
      </c>
      <c r="BA198">
        <v>0</v>
      </c>
      <c r="BB198">
        <v>8473706</v>
      </c>
      <c r="BC198">
        <v>0</v>
      </c>
      <c r="BD198">
        <v>0</v>
      </c>
      <c r="BE198">
        <v>0</v>
      </c>
      <c r="BF198">
        <v>0</v>
      </c>
      <c r="BG198">
        <v>0</v>
      </c>
      <c r="BH198">
        <v>3337982</v>
      </c>
      <c r="BI198">
        <v>1488309</v>
      </c>
      <c r="BJ198">
        <v>0</v>
      </c>
      <c r="BK198">
        <v>0</v>
      </c>
      <c r="BL198">
        <v>12549457</v>
      </c>
      <c r="BM198">
        <v>4447188</v>
      </c>
      <c r="BN198">
        <v>0</v>
      </c>
      <c r="BO198">
        <v>22033822</v>
      </c>
      <c r="BP198">
        <v>15594751</v>
      </c>
      <c r="BQ198">
        <v>0</v>
      </c>
      <c r="BR198">
        <v>0</v>
      </c>
      <c r="BS198">
        <v>0</v>
      </c>
      <c r="BT198">
        <v>1460043</v>
      </c>
      <c r="BU198">
        <v>0</v>
      </c>
      <c r="BV198">
        <v>0</v>
      </c>
      <c r="BW198">
        <v>0</v>
      </c>
      <c r="BX198">
        <v>133570</v>
      </c>
      <c r="BY198">
        <v>5846849</v>
      </c>
      <c r="BZ198">
        <v>0</v>
      </c>
      <c r="CA198">
        <v>11742491</v>
      </c>
      <c r="CB198">
        <v>0</v>
      </c>
      <c r="CC198">
        <v>0</v>
      </c>
      <c r="CD198">
        <v>3897481</v>
      </c>
    </row>
    <row r="199" spans="1:82" x14ac:dyDescent="0.3">
      <c r="A199" s="155">
        <v>660</v>
      </c>
      <c r="B199" t="s">
        <v>914</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30231036</v>
      </c>
      <c r="AV199">
        <v>8119092</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549159</v>
      </c>
      <c r="BZ199">
        <v>0</v>
      </c>
      <c r="CA199">
        <v>0</v>
      </c>
      <c r="CB199">
        <v>0</v>
      </c>
      <c r="CC199">
        <v>0</v>
      </c>
      <c r="CD199">
        <v>0</v>
      </c>
    </row>
    <row r="200" spans="1:82" x14ac:dyDescent="0.3">
      <c r="A200" s="155">
        <v>661</v>
      </c>
      <c r="B200" t="s">
        <v>418</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20.3</v>
      </c>
      <c r="AV200">
        <v>11.7</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9.4</v>
      </c>
      <c r="BZ200">
        <v>0</v>
      </c>
      <c r="CA200">
        <v>0</v>
      </c>
      <c r="CB200">
        <v>0</v>
      </c>
      <c r="CC200">
        <v>0</v>
      </c>
      <c r="CD200">
        <v>0</v>
      </c>
    </row>
    <row r="201" spans="1:82" x14ac:dyDescent="0.3">
      <c r="A201" s="155">
        <v>662</v>
      </c>
      <c r="B201" t="s">
        <v>448</v>
      </c>
      <c r="D201">
        <v>0</v>
      </c>
      <c r="L201">
        <v>0</v>
      </c>
      <c r="M201">
        <v>0</v>
      </c>
      <c r="T201">
        <v>0</v>
      </c>
      <c r="Z201">
        <v>0</v>
      </c>
      <c r="AC201">
        <v>0</v>
      </c>
      <c r="AF201">
        <v>0</v>
      </c>
      <c r="AI201">
        <v>0</v>
      </c>
      <c r="AL201">
        <v>2112</v>
      </c>
      <c r="AN201">
        <v>0</v>
      </c>
      <c r="AR201">
        <v>0</v>
      </c>
      <c r="AT201">
        <v>0</v>
      </c>
      <c r="AU201">
        <v>0</v>
      </c>
      <c r="AV201">
        <v>0</v>
      </c>
      <c r="AW201">
        <v>0</v>
      </c>
      <c r="BF201">
        <v>0</v>
      </c>
      <c r="BH201">
        <v>0</v>
      </c>
      <c r="BM201">
        <v>0</v>
      </c>
      <c r="BN201">
        <v>0</v>
      </c>
      <c r="BO201">
        <v>5100</v>
      </c>
      <c r="BP201">
        <v>0</v>
      </c>
      <c r="BW201">
        <v>0</v>
      </c>
      <c r="BX201">
        <v>0</v>
      </c>
      <c r="BY201">
        <v>6086718</v>
      </c>
      <c r="CD201">
        <v>0</v>
      </c>
    </row>
    <row r="202" spans="1:82" x14ac:dyDescent="0.3">
      <c r="A202" s="155">
        <v>663</v>
      </c>
      <c r="B202" t="s">
        <v>915</v>
      </c>
      <c r="D202">
        <v>0</v>
      </c>
      <c r="L202">
        <v>2857</v>
      </c>
      <c r="M202">
        <v>11357760</v>
      </c>
      <c r="T202">
        <v>0</v>
      </c>
      <c r="Z202">
        <v>90875</v>
      </c>
      <c r="AC202">
        <v>0</v>
      </c>
      <c r="AF202">
        <v>2367811</v>
      </c>
      <c r="AI202">
        <v>7989</v>
      </c>
      <c r="AL202">
        <v>331908</v>
      </c>
      <c r="AN202">
        <v>0</v>
      </c>
      <c r="AR202">
        <v>0</v>
      </c>
      <c r="AT202">
        <v>0</v>
      </c>
      <c r="AU202">
        <v>26724622</v>
      </c>
      <c r="AV202">
        <v>2308155</v>
      </c>
      <c r="AW202">
        <v>0</v>
      </c>
      <c r="BF202">
        <v>0</v>
      </c>
      <c r="BH202">
        <v>0</v>
      </c>
      <c r="BM202">
        <v>0</v>
      </c>
      <c r="BN202">
        <v>0</v>
      </c>
      <c r="BO202">
        <v>0</v>
      </c>
      <c r="BP202">
        <v>1675418</v>
      </c>
      <c r="BW202">
        <v>0</v>
      </c>
      <c r="BX202">
        <v>0</v>
      </c>
      <c r="BY202">
        <v>0</v>
      </c>
      <c r="CD202">
        <v>0</v>
      </c>
    </row>
    <row r="203" spans="1:82" x14ac:dyDescent="0.3">
      <c r="A203" s="155">
        <v>906</v>
      </c>
      <c r="B203" t="s">
        <v>916</v>
      </c>
      <c r="D203">
        <v>1</v>
      </c>
      <c r="E203">
        <v>1</v>
      </c>
      <c r="F203">
        <v>1</v>
      </c>
      <c r="G203">
        <v>1</v>
      </c>
      <c r="H203">
        <v>1</v>
      </c>
      <c r="I203">
        <v>1</v>
      </c>
      <c r="J203">
        <v>1</v>
      </c>
      <c r="K203">
        <v>1</v>
      </c>
      <c r="L203">
        <v>1</v>
      </c>
      <c r="M203">
        <v>1</v>
      </c>
      <c r="N203">
        <v>1</v>
      </c>
      <c r="O203">
        <v>1</v>
      </c>
      <c r="P203">
        <v>1</v>
      </c>
      <c r="Q203">
        <v>1</v>
      </c>
      <c r="R203">
        <v>1</v>
      </c>
      <c r="S203">
        <v>1</v>
      </c>
      <c r="T203">
        <v>1</v>
      </c>
      <c r="U203">
        <v>1</v>
      </c>
      <c r="V203">
        <v>1</v>
      </c>
      <c r="W203">
        <v>1</v>
      </c>
      <c r="X203">
        <v>1</v>
      </c>
      <c r="Y203">
        <v>1</v>
      </c>
      <c r="Z203">
        <v>1</v>
      </c>
      <c r="AA203">
        <v>1</v>
      </c>
      <c r="AB203">
        <v>1</v>
      </c>
      <c r="AC203">
        <v>1</v>
      </c>
      <c r="AD203">
        <v>1</v>
      </c>
      <c r="AE203">
        <v>1</v>
      </c>
      <c r="AF203">
        <v>1</v>
      </c>
      <c r="AG203">
        <v>1</v>
      </c>
      <c r="AH203">
        <v>1</v>
      </c>
      <c r="AI203">
        <v>1</v>
      </c>
      <c r="AJ203">
        <v>1</v>
      </c>
      <c r="AK203">
        <v>1</v>
      </c>
      <c r="AL203">
        <v>1</v>
      </c>
      <c r="AM203">
        <v>1</v>
      </c>
      <c r="AN203">
        <v>1</v>
      </c>
      <c r="AO203">
        <v>1</v>
      </c>
      <c r="AP203">
        <v>1</v>
      </c>
      <c r="AQ203">
        <v>1</v>
      </c>
      <c r="AR203">
        <v>1</v>
      </c>
      <c r="AS203">
        <v>1</v>
      </c>
      <c r="AT203">
        <v>1</v>
      </c>
      <c r="AU203">
        <v>1</v>
      </c>
      <c r="AV203">
        <v>1</v>
      </c>
      <c r="AW203">
        <v>1</v>
      </c>
      <c r="AX203">
        <v>1</v>
      </c>
      <c r="AY203">
        <v>1</v>
      </c>
      <c r="AZ203">
        <v>1</v>
      </c>
      <c r="BA203">
        <v>1</v>
      </c>
      <c r="BB203">
        <v>1</v>
      </c>
      <c r="BC203">
        <v>1</v>
      </c>
      <c r="BD203">
        <v>1</v>
      </c>
      <c r="BE203">
        <v>1</v>
      </c>
      <c r="BF203">
        <v>1</v>
      </c>
      <c r="BG203">
        <v>1</v>
      </c>
      <c r="BH203">
        <v>1</v>
      </c>
      <c r="BI203">
        <v>1</v>
      </c>
      <c r="BJ203">
        <v>1</v>
      </c>
      <c r="BK203">
        <v>1</v>
      </c>
      <c r="BL203">
        <v>1</v>
      </c>
      <c r="BM203">
        <v>1</v>
      </c>
      <c r="BN203">
        <v>1</v>
      </c>
      <c r="BO203">
        <v>1</v>
      </c>
      <c r="BP203">
        <v>1</v>
      </c>
      <c r="BQ203">
        <v>1</v>
      </c>
      <c r="BR203">
        <v>1</v>
      </c>
      <c r="BS203">
        <v>1</v>
      </c>
      <c r="BT203">
        <v>1</v>
      </c>
      <c r="BU203">
        <v>1</v>
      </c>
      <c r="BV203">
        <v>1</v>
      </c>
      <c r="BW203">
        <v>1</v>
      </c>
      <c r="BX203">
        <v>1</v>
      </c>
      <c r="BY203">
        <v>1</v>
      </c>
      <c r="BZ203">
        <v>1</v>
      </c>
      <c r="CA203">
        <v>1</v>
      </c>
      <c r="CB203">
        <v>1</v>
      </c>
      <c r="CC203">
        <v>1</v>
      </c>
      <c r="CD203">
        <v>1</v>
      </c>
    </row>
    <row r="204" spans="1:82" x14ac:dyDescent="0.3">
      <c r="A204" s="155">
        <v>907</v>
      </c>
      <c r="B204" t="s">
        <v>917</v>
      </c>
      <c r="D204">
        <v>2</v>
      </c>
      <c r="E204">
        <v>2</v>
      </c>
      <c r="F204">
        <v>1</v>
      </c>
      <c r="G204">
        <v>2</v>
      </c>
      <c r="H204">
        <v>1</v>
      </c>
      <c r="I204">
        <v>2</v>
      </c>
      <c r="J204">
        <v>1</v>
      </c>
      <c r="K204">
        <v>2</v>
      </c>
      <c r="L204">
        <v>2</v>
      </c>
      <c r="M204">
        <v>2</v>
      </c>
      <c r="N204">
        <v>2</v>
      </c>
      <c r="O204">
        <v>2</v>
      </c>
      <c r="P204">
        <v>2</v>
      </c>
      <c r="Q204">
        <v>2</v>
      </c>
      <c r="R204">
        <v>1</v>
      </c>
      <c r="S204">
        <v>2</v>
      </c>
      <c r="T204">
        <v>1</v>
      </c>
      <c r="U204">
        <v>1</v>
      </c>
      <c r="V204">
        <v>2</v>
      </c>
      <c r="W204">
        <v>2</v>
      </c>
      <c r="X204">
        <v>2</v>
      </c>
      <c r="Y204">
        <v>2</v>
      </c>
      <c r="Z204">
        <v>2</v>
      </c>
      <c r="AA204">
        <v>2</v>
      </c>
      <c r="AB204">
        <v>1</v>
      </c>
      <c r="AC204">
        <v>2</v>
      </c>
      <c r="AD204">
        <v>1</v>
      </c>
      <c r="AE204">
        <v>1</v>
      </c>
      <c r="AF204">
        <v>2</v>
      </c>
      <c r="AG204">
        <v>1</v>
      </c>
      <c r="AH204">
        <v>1</v>
      </c>
      <c r="AI204">
        <v>2</v>
      </c>
      <c r="AJ204">
        <v>1</v>
      </c>
      <c r="AK204">
        <v>1</v>
      </c>
      <c r="AL204">
        <v>2</v>
      </c>
      <c r="AM204">
        <v>1</v>
      </c>
      <c r="AN204">
        <v>2</v>
      </c>
      <c r="AO204">
        <v>2</v>
      </c>
      <c r="AP204">
        <v>2</v>
      </c>
      <c r="AQ204">
        <v>2</v>
      </c>
      <c r="AR204">
        <v>2</v>
      </c>
      <c r="AS204">
        <v>2</v>
      </c>
      <c r="AT204">
        <v>1</v>
      </c>
      <c r="AU204">
        <v>2</v>
      </c>
      <c r="AV204">
        <v>2</v>
      </c>
      <c r="AW204">
        <v>2</v>
      </c>
      <c r="AX204">
        <v>0</v>
      </c>
      <c r="AY204">
        <v>2</v>
      </c>
      <c r="AZ204">
        <v>1</v>
      </c>
      <c r="BA204">
        <v>1</v>
      </c>
      <c r="BB204">
        <v>2</v>
      </c>
      <c r="BC204">
        <v>1</v>
      </c>
      <c r="BD204">
        <v>1</v>
      </c>
      <c r="BE204">
        <v>1</v>
      </c>
      <c r="BF204">
        <v>2</v>
      </c>
      <c r="BG204">
        <v>2</v>
      </c>
      <c r="BH204">
        <v>2</v>
      </c>
      <c r="BI204">
        <v>2</v>
      </c>
      <c r="BJ204">
        <v>2</v>
      </c>
      <c r="BK204">
        <v>1</v>
      </c>
      <c r="BL204">
        <v>2</v>
      </c>
      <c r="BM204">
        <v>2</v>
      </c>
      <c r="BN204">
        <v>2</v>
      </c>
      <c r="BO204">
        <v>2</v>
      </c>
      <c r="BP204">
        <v>2</v>
      </c>
      <c r="BQ204">
        <v>1</v>
      </c>
      <c r="BR204">
        <v>1</v>
      </c>
      <c r="BS204">
        <v>1</v>
      </c>
      <c r="BT204">
        <v>2</v>
      </c>
      <c r="BU204">
        <v>1</v>
      </c>
      <c r="BV204">
        <v>2</v>
      </c>
      <c r="BW204">
        <v>2</v>
      </c>
      <c r="BX204">
        <v>1</v>
      </c>
      <c r="BY204">
        <v>1</v>
      </c>
      <c r="BZ204">
        <v>1</v>
      </c>
      <c r="CA204">
        <v>2</v>
      </c>
      <c r="CB204">
        <v>1</v>
      </c>
      <c r="CC204">
        <v>2</v>
      </c>
      <c r="CD204">
        <v>2</v>
      </c>
    </row>
    <row r="205" spans="1:82" x14ac:dyDescent="0.3">
      <c r="A205" s="155">
        <v>947</v>
      </c>
      <c r="B205" t="s">
        <v>918</v>
      </c>
      <c r="D205" t="s">
        <v>919</v>
      </c>
      <c r="E205" t="s">
        <v>2062</v>
      </c>
      <c r="F205" t="s">
        <v>2063</v>
      </c>
      <c r="G205" t="s">
        <v>2064</v>
      </c>
      <c r="H205" t="s">
        <v>2065</v>
      </c>
      <c r="I205" t="s">
        <v>2066</v>
      </c>
      <c r="J205" t="s">
        <v>2067</v>
      </c>
      <c r="K205" t="s">
        <v>2068</v>
      </c>
      <c r="L205" t="s">
        <v>2069</v>
      </c>
      <c r="M205" t="s">
        <v>2070</v>
      </c>
      <c r="N205" t="s">
        <v>2071</v>
      </c>
      <c r="O205" t="s">
        <v>2072</v>
      </c>
      <c r="P205" t="s">
        <v>2073</v>
      </c>
      <c r="Q205" t="s">
        <v>2074</v>
      </c>
      <c r="R205" t="s">
        <v>2075</v>
      </c>
      <c r="S205" t="s">
        <v>2076</v>
      </c>
      <c r="T205" t="s">
        <v>2077</v>
      </c>
      <c r="U205" t="s">
        <v>2078</v>
      </c>
      <c r="V205" t="s">
        <v>1989</v>
      </c>
      <c r="W205">
        <v>0</v>
      </c>
      <c r="X205" t="s">
        <v>2079</v>
      </c>
      <c r="Y205" t="s">
        <v>2080</v>
      </c>
      <c r="Z205" t="s">
        <v>2081</v>
      </c>
      <c r="AA205" t="s">
        <v>2082</v>
      </c>
      <c r="AB205" t="s">
        <v>2083</v>
      </c>
      <c r="AC205" t="s">
        <v>1592</v>
      </c>
      <c r="AD205" t="s">
        <v>2084</v>
      </c>
      <c r="AE205" t="s">
        <v>2085</v>
      </c>
      <c r="AF205" t="s">
        <v>2086</v>
      </c>
      <c r="AG205" t="s">
        <v>2087</v>
      </c>
      <c r="AH205" t="s">
        <v>2088</v>
      </c>
      <c r="AI205" t="s">
        <v>2089</v>
      </c>
      <c r="AJ205" t="s">
        <v>2090</v>
      </c>
      <c r="AK205" t="s">
        <v>2091</v>
      </c>
      <c r="AL205" t="s">
        <v>2092</v>
      </c>
      <c r="AM205" t="s">
        <v>2093</v>
      </c>
      <c r="AN205" t="s">
        <v>2094</v>
      </c>
      <c r="AO205" t="s">
        <v>1989</v>
      </c>
      <c r="AP205" t="s">
        <v>2095</v>
      </c>
      <c r="AQ205" t="s">
        <v>2096</v>
      </c>
      <c r="AR205" t="s">
        <v>2097</v>
      </c>
      <c r="AS205" t="s">
        <v>2098</v>
      </c>
      <c r="AT205" t="s">
        <v>2099</v>
      </c>
      <c r="AU205" t="s">
        <v>2100</v>
      </c>
      <c r="AV205" t="s">
        <v>2101</v>
      </c>
      <c r="AW205" t="s">
        <v>2102</v>
      </c>
      <c r="AX205" t="s">
        <v>2103</v>
      </c>
      <c r="AY205" t="s">
        <v>2104</v>
      </c>
      <c r="AZ205" t="s">
        <v>2105</v>
      </c>
      <c r="BA205" t="s">
        <v>2106</v>
      </c>
      <c r="BB205" t="s">
        <v>2107</v>
      </c>
      <c r="BC205" t="s">
        <v>2108</v>
      </c>
      <c r="BD205" t="s">
        <v>2109</v>
      </c>
      <c r="BE205" t="s">
        <v>2110</v>
      </c>
      <c r="BF205" t="s">
        <v>2111</v>
      </c>
      <c r="BG205" t="s">
        <v>1592</v>
      </c>
      <c r="BH205" t="s">
        <v>2112</v>
      </c>
      <c r="BI205" t="s">
        <v>2113</v>
      </c>
      <c r="BJ205" t="s">
        <v>1547</v>
      </c>
      <c r="BK205" t="s">
        <v>2114</v>
      </c>
      <c r="BL205" t="s">
        <v>2115</v>
      </c>
      <c r="BM205" t="s">
        <v>2116</v>
      </c>
      <c r="BN205" t="s">
        <v>2117</v>
      </c>
      <c r="BO205" t="s">
        <v>2090</v>
      </c>
      <c r="BP205" t="s">
        <v>2118</v>
      </c>
      <c r="BQ205" t="s">
        <v>2119</v>
      </c>
      <c r="BR205" t="s">
        <v>2120</v>
      </c>
      <c r="BS205" t="s">
        <v>2121</v>
      </c>
      <c r="BT205" t="s">
        <v>2122</v>
      </c>
      <c r="BU205" t="s">
        <v>2123</v>
      </c>
      <c r="BV205" t="s">
        <v>2124</v>
      </c>
      <c r="BW205" t="s">
        <v>1592</v>
      </c>
      <c r="BX205" t="s">
        <v>2125</v>
      </c>
      <c r="BY205" t="s">
        <v>1591</v>
      </c>
      <c r="BZ205" t="s">
        <v>2126</v>
      </c>
      <c r="CA205" t="s">
        <v>2127</v>
      </c>
      <c r="CB205" t="s">
        <v>2128</v>
      </c>
      <c r="CC205" t="s">
        <v>2129</v>
      </c>
      <c r="CD205" t="s">
        <v>2130</v>
      </c>
    </row>
    <row r="206" spans="1:82" x14ac:dyDescent="0.3">
      <c r="A206" s="155">
        <v>948</v>
      </c>
      <c r="B206" t="s">
        <v>920</v>
      </c>
      <c r="D206" t="s">
        <v>1552</v>
      </c>
      <c r="E206" t="s">
        <v>2131</v>
      </c>
      <c r="F206" t="s">
        <v>2132</v>
      </c>
      <c r="G206" t="s">
        <v>2112</v>
      </c>
      <c r="H206" t="s">
        <v>2133</v>
      </c>
      <c r="I206" t="s">
        <v>1554</v>
      </c>
      <c r="J206" t="s">
        <v>1551</v>
      </c>
      <c r="K206" t="s">
        <v>2134</v>
      </c>
      <c r="L206" t="s">
        <v>2135</v>
      </c>
      <c r="M206" t="s">
        <v>2136</v>
      </c>
      <c r="N206" t="s">
        <v>2137</v>
      </c>
      <c r="O206" t="s">
        <v>1596</v>
      </c>
      <c r="P206" t="s">
        <v>2138</v>
      </c>
      <c r="Q206" t="s">
        <v>2139</v>
      </c>
      <c r="R206" t="s">
        <v>815</v>
      </c>
      <c r="S206" t="s">
        <v>2140</v>
      </c>
      <c r="T206" t="s">
        <v>2141</v>
      </c>
      <c r="U206" t="s">
        <v>2142</v>
      </c>
      <c r="V206" t="s">
        <v>2143</v>
      </c>
      <c r="W206">
        <v>0</v>
      </c>
      <c r="X206" t="s">
        <v>2144</v>
      </c>
      <c r="Y206" t="s">
        <v>2145</v>
      </c>
      <c r="Z206" t="s">
        <v>2146</v>
      </c>
      <c r="AA206" t="s">
        <v>2147</v>
      </c>
      <c r="AB206" t="s">
        <v>2148</v>
      </c>
      <c r="AC206" t="s">
        <v>2149</v>
      </c>
      <c r="AD206" t="s">
        <v>2150</v>
      </c>
      <c r="AE206" t="s">
        <v>2151</v>
      </c>
      <c r="AF206" t="s">
        <v>2152</v>
      </c>
      <c r="AG206" t="s">
        <v>2153</v>
      </c>
      <c r="AH206" t="s">
        <v>2154</v>
      </c>
      <c r="AI206" t="s">
        <v>2155</v>
      </c>
      <c r="AJ206" t="s">
        <v>2156</v>
      </c>
      <c r="AK206" t="s">
        <v>2157</v>
      </c>
      <c r="AL206" t="s">
        <v>2158</v>
      </c>
      <c r="AM206" t="s">
        <v>2159</v>
      </c>
      <c r="AN206" t="s">
        <v>2160</v>
      </c>
      <c r="AO206" t="s">
        <v>2161</v>
      </c>
      <c r="AP206" t="s">
        <v>2162</v>
      </c>
      <c r="AQ206" t="s">
        <v>2163</v>
      </c>
      <c r="AR206" t="s">
        <v>1549</v>
      </c>
      <c r="AS206" t="s">
        <v>1990</v>
      </c>
      <c r="AT206" t="s">
        <v>2164</v>
      </c>
      <c r="AU206" t="s">
        <v>2165</v>
      </c>
      <c r="AV206" t="s">
        <v>2166</v>
      </c>
      <c r="AW206" t="s">
        <v>2167</v>
      </c>
      <c r="AX206" t="s">
        <v>2168</v>
      </c>
      <c r="AY206" t="s">
        <v>2169</v>
      </c>
      <c r="AZ206" t="s">
        <v>2170</v>
      </c>
      <c r="BA206" t="s">
        <v>2171</v>
      </c>
      <c r="BB206" t="s">
        <v>2172</v>
      </c>
      <c r="BC206" t="s">
        <v>2173</v>
      </c>
      <c r="BD206" t="s">
        <v>2174</v>
      </c>
      <c r="BE206" t="s">
        <v>2175</v>
      </c>
      <c r="BF206" t="s">
        <v>2112</v>
      </c>
      <c r="BG206" t="s">
        <v>2176</v>
      </c>
      <c r="BH206" t="s">
        <v>2177</v>
      </c>
      <c r="BI206" t="s">
        <v>2178</v>
      </c>
      <c r="BJ206" t="s">
        <v>2179</v>
      </c>
      <c r="BK206" t="s">
        <v>2180</v>
      </c>
      <c r="BL206" t="s">
        <v>2181</v>
      </c>
      <c r="BM206" t="s">
        <v>2182</v>
      </c>
      <c r="BN206" t="s">
        <v>2183</v>
      </c>
      <c r="BO206" t="s">
        <v>1595</v>
      </c>
      <c r="BP206" t="s">
        <v>2184</v>
      </c>
      <c r="BQ206" t="s">
        <v>2185</v>
      </c>
      <c r="BR206" t="s">
        <v>2186</v>
      </c>
      <c r="BS206" t="s">
        <v>2187</v>
      </c>
      <c r="BT206" t="s">
        <v>2188</v>
      </c>
      <c r="BU206" t="s">
        <v>2189</v>
      </c>
      <c r="BV206" t="s">
        <v>2190</v>
      </c>
      <c r="BW206" t="s">
        <v>1548</v>
      </c>
      <c r="BX206" t="s">
        <v>2191</v>
      </c>
      <c r="BY206" t="s">
        <v>1594</v>
      </c>
      <c r="BZ206" t="s">
        <v>2192</v>
      </c>
      <c r="CA206" t="s">
        <v>1550</v>
      </c>
      <c r="CB206" t="s">
        <v>2193</v>
      </c>
      <c r="CC206" t="s">
        <v>1593</v>
      </c>
      <c r="CD206" t="s">
        <v>2194</v>
      </c>
    </row>
    <row r="207" spans="1:82" x14ac:dyDescent="0.3">
      <c r="A207" s="155">
        <v>949</v>
      </c>
      <c r="B207" t="s">
        <v>921</v>
      </c>
      <c r="D207" t="s">
        <v>410</v>
      </c>
      <c r="E207" t="s">
        <v>410</v>
      </c>
      <c r="F207" t="s">
        <v>410</v>
      </c>
      <c r="G207" t="s">
        <v>410</v>
      </c>
      <c r="H207" t="s">
        <v>410</v>
      </c>
      <c r="I207" t="s">
        <v>410</v>
      </c>
      <c r="J207" t="s">
        <v>410</v>
      </c>
      <c r="K207" t="s">
        <v>410</v>
      </c>
      <c r="L207" t="s">
        <v>410</v>
      </c>
      <c r="M207" t="s">
        <v>410</v>
      </c>
      <c r="N207" t="s">
        <v>410</v>
      </c>
      <c r="O207" t="s">
        <v>410</v>
      </c>
      <c r="P207" t="s">
        <v>410</v>
      </c>
      <c r="Q207" t="s">
        <v>410</v>
      </c>
      <c r="R207" t="s">
        <v>410</v>
      </c>
      <c r="S207" t="s">
        <v>410</v>
      </c>
      <c r="T207" t="s">
        <v>410</v>
      </c>
      <c r="U207" t="s">
        <v>410</v>
      </c>
      <c r="V207" t="s">
        <v>410</v>
      </c>
      <c r="W207" t="s">
        <v>410</v>
      </c>
      <c r="X207" t="s">
        <v>410</v>
      </c>
      <c r="Y207" t="s">
        <v>410</v>
      </c>
      <c r="Z207" t="s">
        <v>410</v>
      </c>
      <c r="AA207" t="s">
        <v>410</v>
      </c>
      <c r="AB207" t="s">
        <v>410</v>
      </c>
      <c r="AC207" t="s">
        <v>410</v>
      </c>
      <c r="AD207" t="s">
        <v>410</v>
      </c>
      <c r="AE207" t="s">
        <v>410</v>
      </c>
      <c r="AF207" t="s">
        <v>410</v>
      </c>
      <c r="AG207" t="s">
        <v>1991</v>
      </c>
      <c r="AH207" t="s">
        <v>410</v>
      </c>
      <c r="AI207" t="s">
        <v>410</v>
      </c>
      <c r="AJ207" t="s">
        <v>410</v>
      </c>
      <c r="AK207" t="s">
        <v>410</v>
      </c>
      <c r="AL207" t="s">
        <v>410</v>
      </c>
      <c r="AM207" t="s">
        <v>410</v>
      </c>
      <c r="AN207" t="s">
        <v>410</v>
      </c>
      <c r="AO207" t="s">
        <v>410</v>
      </c>
      <c r="AP207" t="s">
        <v>410</v>
      </c>
      <c r="AQ207" t="s">
        <v>410</v>
      </c>
      <c r="AR207" t="s">
        <v>410</v>
      </c>
      <c r="AS207" t="s">
        <v>410</v>
      </c>
      <c r="AT207" t="s">
        <v>410</v>
      </c>
      <c r="AU207" t="s">
        <v>410</v>
      </c>
      <c r="AV207" t="s">
        <v>1991</v>
      </c>
      <c r="AW207" t="s">
        <v>410</v>
      </c>
      <c r="AX207" t="s">
        <v>410</v>
      </c>
      <c r="AY207" t="s">
        <v>410</v>
      </c>
      <c r="AZ207" t="s">
        <v>410</v>
      </c>
      <c r="BA207" t="s">
        <v>410</v>
      </c>
      <c r="BB207" t="s">
        <v>410</v>
      </c>
      <c r="BC207" t="s">
        <v>410</v>
      </c>
      <c r="BD207" t="s">
        <v>410</v>
      </c>
      <c r="BE207" t="s">
        <v>410</v>
      </c>
      <c r="BF207" t="s">
        <v>410</v>
      </c>
      <c r="BG207" t="s">
        <v>410</v>
      </c>
      <c r="BH207" t="s">
        <v>410</v>
      </c>
      <c r="BI207" t="s">
        <v>410</v>
      </c>
      <c r="BJ207" t="s">
        <v>410</v>
      </c>
      <c r="BK207" t="s">
        <v>410</v>
      </c>
      <c r="BL207" t="s">
        <v>410</v>
      </c>
      <c r="BM207" t="s">
        <v>410</v>
      </c>
      <c r="BN207" t="s">
        <v>410</v>
      </c>
      <c r="BO207" t="s">
        <v>410</v>
      </c>
      <c r="BP207" t="s">
        <v>410</v>
      </c>
      <c r="BQ207" t="s">
        <v>410</v>
      </c>
      <c r="BR207" t="s">
        <v>410</v>
      </c>
      <c r="BS207" t="s">
        <v>410</v>
      </c>
      <c r="BT207" t="s">
        <v>410</v>
      </c>
      <c r="BU207" t="s">
        <v>410</v>
      </c>
      <c r="BV207" t="s">
        <v>410</v>
      </c>
      <c r="BW207" t="s">
        <v>410</v>
      </c>
      <c r="BX207" t="s">
        <v>410</v>
      </c>
      <c r="BY207" t="s">
        <v>410</v>
      </c>
      <c r="BZ207" t="s">
        <v>410</v>
      </c>
      <c r="CA207" t="s">
        <v>410</v>
      </c>
      <c r="CB207" t="s">
        <v>410</v>
      </c>
      <c r="CC207" t="s">
        <v>410</v>
      </c>
      <c r="CD207" t="s">
        <v>410</v>
      </c>
    </row>
    <row r="208" spans="1:82" x14ac:dyDescent="0.3">
      <c r="A208" s="155">
        <v>950</v>
      </c>
      <c r="B208" t="s">
        <v>922</v>
      </c>
      <c r="D208" t="s">
        <v>50</v>
      </c>
      <c r="E208" t="s">
        <v>50</v>
      </c>
      <c r="F208" t="s">
        <v>50</v>
      </c>
      <c r="G208" t="s">
        <v>50</v>
      </c>
      <c r="H208" t="s">
        <v>50</v>
      </c>
      <c r="I208" t="s">
        <v>50</v>
      </c>
      <c r="J208" t="s">
        <v>50</v>
      </c>
      <c r="K208" t="s">
        <v>50</v>
      </c>
      <c r="L208" t="s">
        <v>50</v>
      </c>
      <c r="M208" t="s">
        <v>50</v>
      </c>
      <c r="N208" t="s">
        <v>50</v>
      </c>
      <c r="O208" t="s">
        <v>50</v>
      </c>
      <c r="P208" t="s">
        <v>50</v>
      </c>
      <c r="Q208" t="s">
        <v>50</v>
      </c>
      <c r="R208" t="s">
        <v>50</v>
      </c>
      <c r="S208" t="s">
        <v>50</v>
      </c>
      <c r="T208" t="s">
        <v>50</v>
      </c>
      <c r="U208" t="s">
        <v>50</v>
      </c>
      <c r="V208" t="s">
        <v>50</v>
      </c>
      <c r="W208">
        <v>0</v>
      </c>
      <c r="X208" t="s">
        <v>50</v>
      </c>
      <c r="Y208" t="s">
        <v>50</v>
      </c>
      <c r="Z208" t="s">
        <v>50</v>
      </c>
      <c r="AA208" t="s">
        <v>50</v>
      </c>
      <c r="AB208" t="s">
        <v>50</v>
      </c>
      <c r="AC208" t="s">
        <v>50</v>
      </c>
      <c r="AD208" t="s">
        <v>50</v>
      </c>
      <c r="AE208" t="s">
        <v>50</v>
      </c>
      <c r="AF208" t="s">
        <v>50</v>
      </c>
      <c r="AG208" t="s">
        <v>50</v>
      </c>
      <c r="AH208" t="s">
        <v>50</v>
      </c>
      <c r="AI208" t="s">
        <v>50</v>
      </c>
      <c r="AJ208" t="s">
        <v>50</v>
      </c>
      <c r="AK208" t="s">
        <v>50</v>
      </c>
      <c r="AL208" t="s">
        <v>50</v>
      </c>
      <c r="AM208" t="s">
        <v>50</v>
      </c>
      <c r="AN208" t="s">
        <v>50</v>
      </c>
      <c r="AO208" t="s">
        <v>50</v>
      </c>
      <c r="AP208" t="s">
        <v>50</v>
      </c>
      <c r="AQ208" t="s">
        <v>50</v>
      </c>
      <c r="AR208" t="s">
        <v>50</v>
      </c>
      <c r="AS208" t="s">
        <v>50</v>
      </c>
      <c r="AT208" t="s">
        <v>50</v>
      </c>
      <c r="AU208" t="s">
        <v>50</v>
      </c>
      <c r="AV208" t="s">
        <v>1599</v>
      </c>
      <c r="AW208" t="s">
        <v>50</v>
      </c>
      <c r="AX208" t="s">
        <v>50</v>
      </c>
      <c r="AY208" t="s">
        <v>50</v>
      </c>
      <c r="AZ208" t="s">
        <v>50</v>
      </c>
      <c r="BA208" t="s">
        <v>50</v>
      </c>
      <c r="BB208" t="s">
        <v>50</v>
      </c>
      <c r="BC208" t="s">
        <v>50</v>
      </c>
      <c r="BD208" t="s">
        <v>50</v>
      </c>
      <c r="BE208" t="s">
        <v>50</v>
      </c>
      <c r="BF208" t="s">
        <v>50</v>
      </c>
      <c r="BG208" t="s">
        <v>50</v>
      </c>
      <c r="BH208" t="s">
        <v>50</v>
      </c>
      <c r="BI208" t="s">
        <v>50</v>
      </c>
      <c r="BJ208" t="s">
        <v>50</v>
      </c>
      <c r="BK208" t="s">
        <v>50</v>
      </c>
      <c r="BL208" t="s">
        <v>50</v>
      </c>
      <c r="BM208" t="s">
        <v>50</v>
      </c>
      <c r="BN208" t="s">
        <v>50</v>
      </c>
      <c r="BO208" t="s">
        <v>50</v>
      </c>
      <c r="BP208" t="s">
        <v>50</v>
      </c>
      <c r="BQ208" t="s">
        <v>50</v>
      </c>
      <c r="BR208" t="s">
        <v>50</v>
      </c>
      <c r="BS208" t="s">
        <v>50</v>
      </c>
      <c r="BT208" t="s">
        <v>51</v>
      </c>
      <c r="BU208" t="s">
        <v>50</v>
      </c>
      <c r="BV208" t="s">
        <v>50</v>
      </c>
      <c r="BW208" t="s">
        <v>50</v>
      </c>
      <c r="BX208" t="s">
        <v>50</v>
      </c>
      <c r="BY208" t="s">
        <v>50</v>
      </c>
      <c r="BZ208" t="s">
        <v>50</v>
      </c>
      <c r="CA208" t="s">
        <v>50</v>
      </c>
      <c r="CB208" t="s">
        <v>50</v>
      </c>
      <c r="CC208" t="s">
        <v>50</v>
      </c>
      <c r="CD208" t="s">
        <v>50</v>
      </c>
    </row>
    <row r="209" spans="1:82" x14ac:dyDescent="0.3">
      <c r="A209" s="155">
        <v>951</v>
      </c>
      <c r="B209" t="s">
        <v>923</v>
      </c>
      <c r="D209">
        <v>2</v>
      </c>
      <c r="E209">
        <v>2</v>
      </c>
      <c r="F209">
        <v>2</v>
      </c>
      <c r="G209">
        <v>1</v>
      </c>
      <c r="H209">
        <v>1</v>
      </c>
      <c r="I209">
        <v>2</v>
      </c>
      <c r="J209">
        <v>1</v>
      </c>
      <c r="K209">
        <v>2</v>
      </c>
      <c r="L209">
        <v>2</v>
      </c>
      <c r="M209">
        <v>2</v>
      </c>
      <c r="N209">
        <v>2</v>
      </c>
      <c r="O209">
        <v>2</v>
      </c>
      <c r="P209">
        <v>2</v>
      </c>
      <c r="Q209">
        <v>2</v>
      </c>
      <c r="R209">
        <v>2</v>
      </c>
      <c r="S209">
        <v>2</v>
      </c>
      <c r="T209">
        <v>2</v>
      </c>
      <c r="U209">
        <v>2</v>
      </c>
      <c r="V209">
        <v>2</v>
      </c>
      <c r="W209">
        <v>2</v>
      </c>
      <c r="X209">
        <v>2</v>
      </c>
      <c r="Y209">
        <v>2</v>
      </c>
      <c r="Z209">
        <v>2</v>
      </c>
      <c r="AA209">
        <v>2</v>
      </c>
      <c r="AB209">
        <v>2</v>
      </c>
      <c r="AC209">
        <v>2</v>
      </c>
      <c r="AD209">
        <v>1</v>
      </c>
      <c r="AE209">
        <v>2</v>
      </c>
      <c r="AF209">
        <v>2</v>
      </c>
      <c r="AG209">
        <v>2</v>
      </c>
      <c r="AH209">
        <v>2</v>
      </c>
      <c r="AI209">
        <v>2</v>
      </c>
      <c r="AJ209">
        <v>2</v>
      </c>
      <c r="AK209">
        <v>2</v>
      </c>
      <c r="AL209">
        <v>2</v>
      </c>
      <c r="AM209">
        <v>1</v>
      </c>
      <c r="AN209">
        <v>2</v>
      </c>
      <c r="AO209">
        <v>2</v>
      </c>
      <c r="AP209">
        <v>2</v>
      </c>
      <c r="AQ209">
        <v>2</v>
      </c>
      <c r="AR209">
        <v>2</v>
      </c>
      <c r="AS209">
        <v>2</v>
      </c>
      <c r="AT209">
        <v>2</v>
      </c>
      <c r="AU209">
        <v>2</v>
      </c>
      <c r="AV209">
        <v>2</v>
      </c>
      <c r="AW209">
        <v>2</v>
      </c>
      <c r="AX209">
        <v>2</v>
      </c>
      <c r="AY209">
        <v>2</v>
      </c>
      <c r="AZ209">
        <v>1</v>
      </c>
      <c r="BA209">
        <v>2</v>
      </c>
      <c r="BB209">
        <v>2</v>
      </c>
      <c r="BC209">
        <v>2</v>
      </c>
      <c r="BD209">
        <v>2</v>
      </c>
      <c r="BE209">
        <v>1</v>
      </c>
      <c r="BF209">
        <v>2</v>
      </c>
      <c r="BG209">
        <v>2</v>
      </c>
      <c r="BH209">
        <v>2</v>
      </c>
      <c r="BI209">
        <v>2</v>
      </c>
      <c r="BJ209">
        <v>2</v>
      </c>
      <c r="BK209">
        <v>2</v>
      </c>
      <c r="BL209">
        <v>2</v>
      </c>
      <c r="BM209">
        <v>2</v>
      </c>
      <c r="BN209">
        <v>2</v>
      </c>
      <c r="BO209">
        <v>2</v>
      </c>
      <c r="BP209">
        <v>2</v>
      </c>
      <c r="BQ209">
        <v>2</v>
      </c>
      <c r="BR209">
        <v>2</v>
      </c>
      <c r="BS209">
        <v>2</v>
      </c>
      <c r="BT209">
        <v>2</v>
      </c>
      <c r="BU209">
        <v>1</v>
      </c>
      <c r="BV209">
        <v>2</v>
      </c>
      <c r="BW209">
        <v>2</v>
      </c>
      <c r="BX209">
        <v>2</v>
      </c>
      <c r="BY209">
        <v>2</v>
      </c>
      <c r="BZ209">
        <v>2</v>
      </c>
      <c r="CA209">
        <v>2</v>
      </c>
      <c r="CB209">
        <v>2</v>
      </c>
      <c r="CC209">
        <v>2</v>
      </c>
      <c r="CD209">
        <v>2</v>
      </c>
    </row>
    <row r="210" spans="1:82" x14ac:dyDescent="0.3">
      <c r="A210" s="155">
        <v>952</v>
      </c>
      <c r="B210" t="s">
        <v>924</v>
      </c>
      <c r="D210" t="s">
        <v>2195</v>
      </c>
      <c r="E210" t="s">
        <v>2196</v>
      </c>
      <c r="F210" t="s">
        <v>2197</v>
      </c>
      <c r="G210" t="s">
        <v>2198</v>
      </c>
      <c r="H210" t="s">
        <v>2199</v>
      </c>
      <c r="J210" t="s">
        <v>2200</v>
      </c>
      <c r="K210" t="s">
        <v>2201</v>
      </c>
      <c r="L210" t="s">
        <v>2202</v>
      </c>
      <c r="N210" t="s">
        <v>2203</v>
      </c>
      <c r="O210" t="s">
        <v>2204</v>
      </c>
      <c r="P210" t="s">
        <v>2205</v>
      </c>
      <c r="R210" t="s">
        <v>2206</v>
      </c>
      <c r="S210" t="s">
        <v>2207</v>
      </c>
      <c r="U210" t="s">
        <v>2208</v>
      </c>
      <c r="V210" t="s">
        <v>2209</v>
      </c>
      <c r="Y210" t="s">
        <v>926</v>
      </c>
      <c r="Z210" t="s">
        <v>2196</v>
      </c>
      <c r="AB210" t="s">
        <v>2210</v>
      </c>
      <c r="AF210" t="s">
        <v>2211</v>
      </c>
      <c r="AG210" t="s">
        <v>2212</v>
      </c>
      <c r="AH210" t="s">
        <v>2208</v>
      </c>
      <c r="AI210" t="s">
        <v>2213</v>
      </c>
      <c r="AJ210" t="s">
        <v>2214</v>
      </c>
      <c r="AK210" t="s">
        <v>1062</v>
      </c>
      <c r="AL210" t="s">
        <v>2215</v>
      </c>
      <c r="AM210" t="s">
        <v>2216</v>
      </c>
      <c r="AN210" t="s">
        <v>2217</v>
      </c>
      <c r="AO210" t="s">
        <v>2218</v>
      </c>
      <c r="AP210" t="s">
        <v>2219</v>
      </c>
      <c r="AS210" t="s">
        <v>2196</v>
      </c>
      <c r="AT210" t="s">
        <v>2220</v>
      </c>
      <c r="AV210" t="s">
        <v>2221</v>
      </c>
      <c r="AW210" t="s">
        <v>944</v>
      </c>
      <c r="AX210" t="s">
        <v>1063</v>
      </c>
      <c r="AY210" t="s">
        <v>2222</v>
      </c>
      <c r="BA210" t="s">
        <v>925</v>
      </c>
      <c r="BB210" t="s">
        <v>2223</v>
      </c>
      <c r="BC210" t="s">
        <v>2199</v>
      </c>
      <c r="BD210" t="s">
        <v>2224</v>
      </c>
      <c r="BF210" t="s">
        <v>2225</v>
      </c>
      <c r="BH210" t="s">
        <v>2226</v>
      </c>
      <c r="BI210" t="s">
        <v>2199</v>
      </c>
      <c r="BJ210" t="s">
        <v>1625</v>
      </c>
      <c r="BK210" t="s">
        <v>927</v>
      </c>
      <c r="BL210" t="s">
        <v>2227</v>
      </c>
      <c r="BN210" t="s">
        <v>2228</v>
      </c>
      <c r="BO210" t="s">
        <v>2229</v>
      </c>
      <c r="BP210" t="s">
        <v>2230</v>
      </c>
      <c r="BS210" t="s">
        <v>1553</v>
      </c>
      <c r="BT210" t="s">
        <v>1624</v>
      </c>
      <c r="BU210" t="s">
        <v>2231</v>
      </c>
      <c r="BV210" t="s">
        <v>2208</v>
      </c>
      <c r="BW210" t="s">
        <v>2232</v>
      </c>
      <c r="BX210" t="s">
        <v>2199</v>
      </c>
      <c r="BY210" t="s">
        <v>2233</v>
      </c>
      <c r="CA210" t="s">
        <v>2234</v>
      </c>
      <c r="CB210" t="s">
        <v>2235</v>
      </c>
      <c r="CC210" t="s">
        <v>2236</v>
      </c>
      <c r="CD210" t="s">
        <v>2199</v>
      </c>
    </row>
    <row r="211" spans="1:82" x14ac:dyDescent="0.3">
      <c r="A211" s="155">
        <v>953</v>
      </c>
      <c r="B211" t="s">
        <v>928</v>
      </c>
      <c r="D211">
        <v>2</v>
      </c>
      <c r="E211">
        <v>2</v>
      </c>
      <c r="F211">
        <v>2</v>
      </c>
      <c r="G211">
        <v>2</v>
      </c>
      <c r="H211">
        <v>2</v>
      </c>
      <c r="I211">
        <v>2</v>
      </c>
      <c r="J211">
        <v>2</v>
      </c>
      <c r="K211">
        <v>2</v>
      </c>
      <c r="L211">
        <v>2</v>
      </c>
      <c r="M211">
        <v>2</v>
      </c>
      <c r="N211">
        <v>2</v>
      </c>
      <c r="O211">
        <v>2</v>
      </c>
      <c r="P211">
        <v>2</v>
      </c>
      <c r="Q211">
        <v>2</v>
      </c>
      <c r="R211">
        <v>2</v>
      </c>
      <c r="S211">
        <v>2</v>
      </c>
      <c r="T211">
        <v>2</v>
      </c>
      <c r="U211">
        <v>2</v>
      </c>
      <c r="V211">
        <v>2</v>
      </c>
      <c r="W211">
        <v>2</v>
      </c>
      <c r="X211">
        <v>2</v>
      </c>
      <c r="Y211">
        <v>2</v>
      </c>
      <c r="Z211">
        <v>2</v>
      </c>
      <c r="AA211">
        <v>2</v>
      </c>
      <c r="AB211">
        <v>2</v>
      </c>
      <c r="AC211">
        <v>2</v>
      </c>
      <c r="AD211">
        <v>2</v>
      </c>
      <c r="AE211">
        <v>2</v>
      </c>
      <c r="AF211">
        <v>2</v>
      </c>
      <c r="AG211">
        <v>2</v>
      </c>
      <c r="AH211">
        <v>2</v>
      </c>
      <c r="AI211">
        <v>2</v>
      </c>
      <c r="AJ211">
        <v>2</v>
      </c>
      <c r="AK211">
        <v>2</v>
      </c>
      <c r="AL211">
        <v>2</v>
      </c>
      <c r="AM211">
        <v>2</v>
      </c>
      <c r="AN211">
        <v>2</v>
      </c>
      <c r="AO211">
        <v>2</v>
      </c>
      <c r="AP211">
        <v>2</v>
      </c>
      <c r="AQ211">
        <v>2</v>
      </c>
      <c r="AR211">
        <v>2</v>
      </c>
      <c r="AS211">
        <v>2</v>
      </c>
      <c r="AT211">
        <v>2</v>
      </c>
      <c r="AU211">
        <v>2</v>
      </c>
      <c r="AV211">
        <v>2</v>
      </c>
      <c r="AW211">
        <v>2</v>
      </c>
      <c r="AX211">
        <v>2</v>
      </c>
      <c r="AY211">
        <v>2</v>
      </c>
      <c r="AZ211">
        <v>2</v>
      </c>
      <c r="BA211">
        <v>2</v>
      </c>
      <c r="BB211">
        <v>2</v>
      </c>
      <c r="BC211">
        <v>2</v>
      </c>
      <c r="BD211">
        <v>2</v>
      </c>
      <c r="BE211">
        <v>2</v>
      </c>
      <c r="BF211">
        <v>2</v>
      </c>
      <c r="BG211">
        <v>2</v>
      </c>
      <c r="BH211">
        <v>2</v>
      </c>
      <c r="BI211">
        <v>2</v>
      </c>
      <c r="BJ211">
        <v>2</v>
      </c>
      <c r="BK211">
        <v>2</v>
      </c>
      <c r="BL211">
        <v>2</v>
      </c>
      <c r="BM211">
        <v>2</v>
      </c>
      <c r="BN211">
        <v>2</v>
      </c>
      <c r="BO211">
        <v>2</v>
      </c>
      <c r="BP211">
        <v>2</v>
      </c>
      <c r="BQ211">
        <v>2</v>
      </c>
      <c r="BR211">
        <v>2</v>
      </c>
      <c r="BS211">
        <v>2</v>
      </c>
      <c r="BT211">
        <v>2</v>
      </c>
      <c r="BU211">
        <v>2</v>
      </c>
      <c r="BV211">
        <v>2</v>
      </c>
      <c r="BW211">
        <v>2</v>
      </c>
      <c r="BX211">
        <v>2</v>
      </c>
      <c r="BY211">
        <v>2</v>
      </c>
      <c r="BZ211">
        <v>2</v>
      </c>
      <c r="CA211">
        <v>2</v>
      </c>
      <c r="CB211">
        <v>2</v>
      </c>
      <c r="CC211">
        <v>2</v>
      </c>
      <c r="CD211">
        <v>2</v>
      </c>
    </row>
    <row r="212" spans="1:82" x14ac:dyDescent="0.3">
      <c r="A212" s="155">
        <v>954</v>
      </c>
      <c r="B212" t="s">
        <v>408</v>
      </c>
      <c r="D212" t="s">
        <v>50</v>
      </c>
      <c r="E212" t="s">
        <v>50</v>
      </c>
      <c r="F212" t="s">
        <v>50</v>
      </c>
      <c r="G212" t="s">
        <v>50</v>
      </c>
      <c r="H212" t="s">
        <v>50</v>
      </c>
      <c r="I212" t="s">
        <v>50</v>
      </c>
      <c r="J212" t="s">
        <v>50</v>
      </c>
      <c r="K212" t="s">
        <v>50</v>
      </c>
      <c r="L212" t="s">
        <v>50</v>
      </c>
      <c r="M212" t="s">
        <v>50</v>
      </c>
      <c r="N212" t="s">
        <v>50</v>
      </c>
      <c r="O212" t="s">
        <v>50</v>
      </c>
      <c r="P212" t="s">
        <v>50</v>
      </c>
      <c r="Q212" t="s">
        <v>50</v>
      </c>
      <c r="R212" t="s">
        <v>50</v>
      </c>
      <c r="S212" t="s">
        <v>50</v>
      </c>
      <c r="T212" t="s">
        <v>50</v>
      </c>
      <c r="U212" t="s">
        <v>50</v>
      </c>
      <c r="V212" t="s">
        <v>50</v>
      </c>
      <c r="W212" t="s">
        <v>50</v>
      </c>
      <c r="X212" t="s">
        <v>50</v>
      </c>
      <c r="Y212" t="s">
        <v>50</v>
      </c>
      <c r="Z212" t="s">
        <v>50</v>
      </c>
      <c r="AA212" t="s">
        <v>50</v>
      </c>
      <c r="AB212" t="s">
        <v>50</v>
      </c>
      <c r="AC212" t="s">
        <v>50</v>
      </c>
      <c r="AD212" t="s">
        <v>50</v>
      </c>
      <c r="AE212" t="s">
        <v>51</v>
      </c>
      <c r="AF212" t="s">
        <v>50</v>
      </c>
      <c r="AG212" t="s">
        <v>50</v>
      </c>
      <c r="AH212" t="s">
        <v>50</v>
      </c>
      <c r="AI212" t="s">
        <v>50</v>
      </c>
      <c r="AJ212" t="s">
        <v>50</v>
      </c>
      <c r="AK212" t="s">
        <v>50</v>
      </c>
      <c r="AL212" t="s">
        <v>50</v>
      </c>
      <c r="AM212" t="s">
        <v>50</v>
      </c>
      <c r="AN212" t="s">
        <v>50</v>
      </c>
      <c r="AO212" t="s">
        <v>50</v>
      </c>
      <c r="AP212" t="s">
        <v>50</v>
      </c>
      <c r="AQ212" t="s">
        <v>50</v>
      </c>
      <c r="AR212" t="s">
        <v>50</v>
      </c>
      <c r="AS212" t="s">
        <v>50</v>
      </c>
      <c r="AT212" t="s">
        <v>50</v>
      </c>
      <c r="AU212" t="s">
        <v>50</v>
      </c>
      <c r="AV212" t="s">
        <v>50</v>
      </c>
      <c r="AW212" t="s">
        <v>50</v>
      </c>
      <c r="AX212" t="s">
        <v>50</v>
      </c>
      <c r="AY212" t="s">
        <v>50</v>
      </c>
      <c r="AZ212" t="s">
        <v>50</v>
      </c>
      <c r="BA212" t="s">
        <v>50</v>
      </c>
      <c r="BB212" t="s">
        <v>50</v>
      </c>
      <c r="BC212" t="s">
        <v>50</v>
      </c>
      <c r="BD212" t="s">
        <v>50</v>
      </c>
      <c r="BE212" t="s">
        <v>50</v>
      </c>
      <c r="BF212" t="s">
        <v>50</v>
      </c>
      <c r="BG212" t="s">
        <v>50</v>
      </c>
      <c r="BH212" t="s">
        <v>50</v>
      </c>
      <c r="BI212" t="s">
        <v>50</v>
      </c>
      <c r="BJ212" t="s">
        <v>50</v>
      </c>
      <c r="BK212" t="s">
        <v>50</v>
      </c>
      <c r="BL212" t="s">
        <v>50</v>
      </c>
      <c r="BM212" t="s">
        <v>50</v>
      </c>
      <c r="BN212" t="s">
        <v>50</v>
      </c>
      <c r="BO212" t="s">
        <v>50</v>
      </c>
      <c r="BP212" t="s">
        <v>50</v>
      </c>
      <c r="BQ212" t="s">
        <v>50</v>
      </c>
      <c r="BR212" t="s">
        <v>50</v>
      </c>
      <c r="BS212" t="s">
        <v>50</v>
      </c>
      <c r="BT212" t="s">
        <v>50</v>
      </c>
      <c r="BU212" t="s">
        <v>50</v>
      </c>
      <c r="BV212" t="s">
        <v>50</v>
      </c>
      <c r="BW212" t="s">
        <v>50</v>
      </c>
      <c r="BX212" t="s">
        <v>50</v>
      </c>
      <c r="BY212" t="s">
        <v>50</v>
      </c>
      <c r="BZ212" t="s">
        <v>50</v>
      </c>
      <c r="CA212" t="s">
        <v>50</v>
      </c>
      <c r="CB212" t="s">
        <v>50</v>
      </c>
      <c r="CC212" t="s">
        <v>50</v>
      </c>
      <c r="CD212" t="s">
        <v>50</v>
      </c>
    </row>
    <row r="213" spans="1:82" x14ac:dyDescent="0.3">
      <c r="A213" s="155">
        <v>955</v>
      </c>
      <c r="B213" t="s">
        <v>929</v>
      </c>
      <c r="D213">
        <v>0</v>
      </c>
      <c r="E213">
        <v>0</v>
      </c>
      <c r="F213">
        <v>0</v>
      </c>
      <c r="G213">
        <v>0</v>
      </c>
      <c r="H213">
        <v>0</v>
      </c>
      <c r="I213">
        <v>0</v>
      </c>
      <c r="J213">
        <v>0</v>
      </c>
      <c r="K213">
        <v>0</v>
      </c>
      <c r="L213">
        <v>0</v>
      </c>
      <c r="M213">
        <v>0</v>
      </c>
      <c r="N213">
        <v>0</v>
      </c>
      <c r="O213">
        <v>0</v>
      </c>
      <c r="P213">
        <v>0</v>
      </c>
      <c r="Q213">
        <v>0</v>
      </c>
      <c r="R213">
        <v>1</v>
      </c>
      <c r="S213">
        <v>2</v>
      </c>
      <c r="T213">
        <v>3</v>
      </c>
      <c r="U213">
        <v>0</v>
      </c>
      <c r="V213">
        <v>0</v>
      </c>
      <c r="W213">
        <v>0</v>
      </c>
      <c r="X213">
        <v>0</v>
      </c>
      <c r="Y213">
        <v>0</v>
      </c>
      <c r="Z213">
        <v>0</v>
      </c>
      <c r="AA213">
        <v>1</v>
      </c>
      <c r="AB213">
        <v>1</v>
      </c>
      <c r="AC213">
        <v>0</v>
      </c>
      <c r="AD213">
        <v>0</v>
      </c>
      <c r="AE213">
        <v>0</v>
      </c>
      <c r="AF213">
        <v>0</v>
      </c>
      <c r="AG213">
        <v>0</v>
      </c>
      <c r="AH213">
        <v>1</v>
      </c>
      <c r="AI213">
        <v>0</v>
      </c>
      <c r="AJ213">
        <v>3</v>
      </c>
      <c r="AK213">
        <v>1</v>
      </c>
      <c r="AL213">
        <v>0</v>
      </c>
      <c r="AM213">
        <v>1</v>
      </c>
      <c r="AN213">
        <v>0</v>
      </c>
      <c r="AO213">
        <v>0</v>
      </c>
      <c r="AP213">
        <v>0</v>
      </c>
      <c r="AQ213">
        <v>0</v>
      </c>
      <c r="AR213">
        <v>0</v>
      </c>
      <c r="AS213">
        <v>1</v>
      </c>
      <c r="AT213">
        <v>0</v>
      </c>
      <c r="AU213">
        <v>0</v>
      </c>
      <c r="AV213">
        <v>0</v>
      </c>
      <c r="AW213">
        <v>0</v>
      </c>
      <c r="AX213">
        <v>1</v>
      </c>
      <c r="AY213">
        <v>0</v>
      </c>
      <c r="AZ213">
        <v>0</v>
      </c>
      <c r="BA213">
        <v>0</v>
      </c>
      <c r="BB213">
        <v>0</v>
      </c>
      <c r="BC213">
        <v>1</v>
      </c>
      <c r="BD213">
        <v>0</v>
      </c>
      <c r="BE213">
        <v>0</v>
      </c>
      <c r="BF213">
        <v>0</v>
      </c>
      <c r="BG213">
        <v>0</v>
      </c>
      <c r="BH213">
        <v>0</v>
      </c>
      <c r="BI213">
        <v>1</v>
      </c>
      <c r="BJ213">
        <v>0</v>
      </c>
      <c r="BK213">
        <v>0</v>
      </c>
      <c r="BL213">
        <v>0</v>
      </c>
      <c r="BM213">
        <v>0</v>
      </c>
      <c r="BN213">
        <v>1</v>
      </c>
      <c r="BO213">
        <v>1</v>
      </c>
      <c r="BP213">
        <v>0</v>
      </c>
      <c r="BQ213">
        <v>1</v>
      </c>
      <c r="BR213">
        <v>1</v>
      </c>
      <c r="BS213">
        <v>2</v>
      </c>
      <c r="BT213">
        <v>3</v>
      </c>
      <c r="BU213">
        <v>0</v>
      </c>
      <c r="BV213">
        <v>0</v>
      </c>
      <c r="BW213">
        <v>0</v>
      </c>
      <c r="BX213">
        <v>0</v>
      </c>
      <c r="BY213">
        <v>1</v>
      </c>
      <c r="BZ213">
        <v>3</v>
      </c>
      <c r="CA213">
        <v>0</v>
      </c>
      <c r="CB213">
        <v>1</v>
      </c>
      <c r="CC213">
        <v>0</v>
      </c>
      <c r="CD213">
        <v>0</v>
      </c>
    </row>
    <row r="214" spans="1:82" x14ac:dyDescent="0.3">
      <c r="A214" s="155">
        <v>956</v>
      </c>
      <c r="B214" t="s">
        <v>409</v>
      </c>
      <c r="D214" t="s">
        <v>50</v>
      </c>
      <c r="E214" t="s">
        <v>50</v>
      </c>
      <c r="F214" t="s">
        <v>50</v>
      </c>
      <c r="G214" t="s">
        <v>50</v>
      </c>
      <c r="H214" t="s">
        <v>50</v>
      </c>
      <c r="I214" t="s">
        <v>50</v>
      </c>
      <c r="J214" t="s">
        <v>50</v>
      </c>
      <c r="K214" t="s">
        <v>50</v>
      </c>
      <c r="L214" t="s">
        <v>50</v>
      </c>
      <c r="M214" t="s">
        <v>50</v>
      </c>
      <c r="N214" t="s">
        <v>50</v>
      </c>
      <c r="O214" t="s">
        <v>50</v>
      </c>
      <c r="P214" t="s">
        <v>50</v>
      </c>
      <c r="Q214" t="s">
        <v>50</v>
      </c>
      <c r="R214" t="s">
        <v>50</v>
      </c>
      <c r="S214" t="s">
        <v>51</v>
      </c>
      <c r="T214" t="s">
        <v>50</v>
      </c>
      <c r="U214" t="s">
        <v>50</v>
      </c>
      <c r="V214" t="s">
        <v>50</v>
      </c>
      <c r="W214" t="s">
        <v>50</v>
      </c>
      <c r="X214" t="s">
        <v>50</v>
      </c>
      <c r="Y214" t="s">
        <v>50</v>
      </c>
      <c r="Z214" t="s">
        <v>50</v>
      </c>
      <c r="AA214" t="s">
        <v>50</v>
      </c>
      <c r="AB214" t="s">
        <v>50</v>
      </c>
      <c r="AC214" t="s">
        <v>50</v>
      </c>
      <c r="AD214" t="s">
        <v>50</v>
      </c>
      <c r="AE214" t="s">
        <v>50</v>
      </c>
      <c r="AF214" t="s">
        <v>50</v>
      </c>
      <c r="AG214" t="s">
        <v>50</v>
      </c>
      <c r="AH214" t="s">
        <v>50</v>
      </c>
      <c r="AI214" t="s">
        <v>50</v>
      </c>
      <c r="AJ214" t="s">
        <v>50</v>
      </c>
      <c r="AK214" t="s">
        <v>50</v>
      </c>
      <c r="AL214" t="s">
        <v>50</v>
      </c>
      <c r="AM214" t="s">
        <v>50</v>
      </c>
      <c r="AN214" t="s">
        <v>50</v>
      </c>
      <c r="AO214" t="s">
        <v>50</v>
      </c>
      <c r="AP214" t="s">
        <v>50</v>
      </c>
      <c r="AQ214" t="s">
        <v>50</v>
      </c>
      <c r="AR214" t="s">
        <v>50</v>
      </c>
      <c r="AS214" t="s">
        <v>50</v>
      </c>
      <c r="AT214" t="s">
        <v>50</v>
      </c>
      <c r="AU214" t="s">
        <v>50</v>
      </c>
      <c r="AV214" t="s">
        <v>50</v>
      </c>
      <c r="AW214" t="s">
        <v>50</v>
      </c>
      <c r="AX214" t="s">
        <v>50</v>
      </c>
      <c r="AY214" t="s">
        <v>50</v>
      </c>
      <c r="AZ214" t="s">
        <v>50</v>
      </c>
      <c r="BA214" t="s">
        <v>50</v>
      </c>
      <c r="BB214" t="s">
        <v>50</v>
      </c>
      <c r="BC214" t="s">
        <v>50</v>
      </c>
      <c r="BD214" t="s">
        <v>50</v>
      </c>
      <c r="BE214" t="s">
        <v>50</v>
      </c>
      <c r="BF214" t="s">
        <v>50</v>
      </c>
      <c r="BG214" t="s">
        <v>50</v>
      </c>
      <c r="BH214" t="s">
        <v>50</v>
      </c>
      <c r="BI214" t="s">
        <v>50</v>
      </c>
      <c r="BJ214" t="s">
        <v>50</v>
      </c>
      <c r="BK214" t="s">
        <v>50</v>
      </c>
      <c r="BL214" t="s">
        <v>50</v>
      </c>
      <c r="BM214" t="s">
        <v>50</v>
      </c>
      <c r="BN214" t="s">
        <v>50</v>
      </c>
      <c r="BO214" t="s">
        <v>50</v>
      </c>
      <c r="BP214" t="s">
        <v>50</v>
      </c>
      <c r="BQ214" t="s">
        <v>50</v>
      </c>
      <c r="BR214" t="s">
        <v>50</v>
      </c>
      <c r="BS214" t="s">
        <v>50</v>
      </c>
      <c r="BT214" t="s">
        <v>50</v>
      </c>
      <c r="BU214" t="s">
        <v>50</v>
      </c>
      <c r="BV214" t="s">
        <v>50</v>
      </c>
      <c r="BW214" t="s">
        <v>50</v>
      </c>
      <c r="BX214" t="s">
        <v>50</v>
      </c>
      <c r="BY214" t="s">
        <v>50</v>
      </c>
      <c r="BZ214" t="s">
        <v>50</v>
      </c>
      <c r="CA214" t="s">
        <v>50</v>
      </c>
      <c r="CB214" t="s">
        <v>50</v>
      </c>
      <c r="CC214" t="s">
        <v>50</v>
      </c>
      <c r="CD214" t="s">
        <v>50</v>
      </c>
    </row>
    <row r="215" spans="1:82" x14ac:dyDescent="0.3">
      <c r="A215" s="155">
        <v>957</v>
      </c>
      <c r="B215" t="s">
        <v>930</v>
      </c>
      <c r="D215">
        <v>0</v>
      </c>
      <c r="E215">
        <v>0</v>
      </c>
      <c r="F215">
        <v>1</v>
      </c>
      <c r="G215">
        <v>0</v>
      </c>
      <c r="H215">
        <v>0</v>
      </c>
      <c r="I215">
        <v>0</v>
      </c>
      <c r="J215">
        <v>0</v>
      </c>
      <c r="K215">
        <v>0</v>
      </c>
      <c r="L215">
        <v>0</v>
      </c>
      <c r="M215">
        <v>2</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1</v>
      </c>
      <c r="AI215">
        <v>0</v>
      </c>
      <c r="AJ215">
        <v>0</v>
      </c>
      <c r="AK215">
        <v>0</v>
      </c>
      <c r="AL215">
        <v>0</v>
      </c>
      <c r="AM215">
        <v>1</v>
      </c>
      <c r="AN215">
        <v>0</v>
      </c>
      <c r="AO215">
        <v>0</v>
      </c>
      <c r="AP215">
        <v>0</v>
      </c>
      <c r="AQ215">
        <v>0</v>
      </c>
      <c r="AR215">
        <v>0</v>
      </c>
      <c r="AS215">
        <v>0</v>
      </c>
      <c r="AT215">
        <v>0</v>
      </c>
      <c r="AU215">
        <v>0</v>
      </c>
      <c r="AV215">
        <v>0</v>
      </c>
      <c r="AW215">
        <v>0</v>
      </c>
      <c r="AX215">
        <v>1</v>
      </c>
      <c r="AY215">
        <v>0</v>
      </c>
      <c r="AZ215">
        <v>0</v>
      </c>
      <c r="BA215">
        <v>0</v>
      </c>
      <c r="BB215">
        <v>0</v>
      </c>
      <c r="BC215">
        <v>0</v>
      </c>
      <c r="BD215">
        <v>0</v>
      </c>
      <c r="BE215">
        <v>0</v>
      </c>
      <c r="BF215">
        <v>0</v>
      </c>
      <c r="BG215">
        <v>0</v>
      </c>
      <c r="BH215">
        <v>0</v>
      </c>
      <c r="BI215">
        <v>0</v>
      </c>
      <c r="BJ215">
        <v>0</v>
      </c>
      <c r="BK215">
        <v>0</v>
      </c>
      <c r="BL215">
        <v>0</v>
      </c>
      <c r="BM215">
        <v>0</v>
      </c>
      <c r="BN215">
        <v>4</v>
      </c>
      <c r="BO215">
        <v>1</v>
      </c>
      <c r="BP215">
        <v>0</v>
      </c>
      <c r="BQ215">
        <v>0</v>
      </c>
      <c r="BR215">
        <v>1</v>
      </c>
      <c r="BS215">
        <v>0</v>
      </c>
      <c r="BT215">
        <v>1</v>
      </c>
      <c r="BU215">
        <v>0</v>
      </c>
      <c r="BV215">
        <v>0</v>
      </c>
      <c r="BW215">
        <v>0</v>
      </c>
      <c r="BX215">
        <v>0</v>
      </c>
      <c r="BY215">
        <v>0</v>
      </c>
      <c r="BZ215">
        <v>0</v>
      </c>
      <c r="CA215">
        <v>0</v>
      </c>
      <c r="CB215">
        <v>0</v>
      </c>
      <c r="CC215">
        <v>0</v>
      </c>
      <c r="CD215">
        <v>0</v>
      </c>
    </row>
    <row r="216" spans="1:82" x14ac:dyDescent="0.3">
      <c r="A216" s="155">
        <v>958</v>
      </c>
      <c r="B216" t="s">
        <v>931</v>
      </c>
      <c r="D216" t="s">
        <v>50</v>
      </c>
      <c r="E216" t="s">
        <v>50</v>
      </c>
      <c r="F216" t="s">
        <v>50</v>
      </c>
      <c r="G216" t="s">
        <v>50</v>
      </c>
      <c r="H216" t="s">
        <v>50</v>
      </c>
      <c r="I216" t="s">
        <v>50</v>
      </c>
      <c r="J216" t="s">
        <v>50</v>
      </c>
      <c r="K216" t="s">
        <v>50</v>
      </c>
      <c r="L216" t="s">
        <v>50</v>
      </c>
      <c r="M216" t="s">
        <v>50</v>
      </c>
      <c r="N216" t="s">
        <v>50</v>
      </c>
      <c r="O216" t="s">
        <v>50</v>
      </c>
      <c r="P216" t="s">
        <v>50</v>
      </c>
      <c r="Q216" t="s">
        <v>50</v>
      </c>
      <c r="R216" t="s">
        <v>50</v>
      </c>
      <c r="S216" t="s">
        <v>50</v>
      </c>
      <c r="T216" t="s">
        <v>50</v>
      </c>
      <c r="U216" t="s">
        <v>50</v>
      </c>
      <c r="V216" t="s">
        <v>50</v>
      </c>
      <c r="W216" t="s">
        <v>50</v>
      </c>
      <c r="X216" t="s">
        <v>50</v>
      </c>
      <c r="Y216" t="s">
        <v>50</v>
      </c>
      <c r="Z216" t="s">
        <v>50</v>
      </c>
      <c r="AA216" t="s">
        <v>50</v>
      </c>
      <c r="AB216" t="s">
        <v>50</v>
      </c>
      <c r="AC216" t="s">
        <v>50</v>
      </c>
      <c r="AD216" t="s">
        <v>50</v>
      </c>
      <c r="AE216" t="s">
        <v>50</v>
      </c>
      <c r="AF216" t="s">
        <v>50</v>
      </c>
      <c r="AG216" t="s">
        <v>50</v>
      </c>
      <c r="AH216" t="s">
        <v>50</v>
      </c>
      <c r="AI216" t="s">
        <v>50</v>
      </c>
      <c r="AJ216" t="s">
        <v>50</v>
      </c>
      <c r="AK216" t="s">
        <v>50</v>
      </c>
      <c r="AL216" t="s">
        <v>50</v>
      </c>
      <c r="AM216" t="s">
        <v>50</v>
      </c>
      <c r="AN216" t="s">
        <v>50</v>
      </c>
      <c r="AO216" t="s">
        <v>50</v>
      </c>
      <c r="AP216" t="s">
        <v>50</v>
      </c>
      <c r="AQ216" t="s">
        <v>50</v>
      </c>
      <c r="AR216" t="s">
        <v>50</v>
      </c>
      <c r="AS216" t="s">
        <v>50</v>
      </c>
      <c r="AT216" t="s">
        <v>50</v>
      </c>
      <c r="AU216" t="s">
        <v>1599</v>
      </c>
      <c r="AV216" t="s">
        <v>50</v>
      </c>
      <c r="AW216" t="s">
        <v>50</v>
      </c>
      <c r="AX216" t="s">
        <v>51</v>
      </c>
      <c r="AY216" t="s">
        <v>50</v>
      </c>
      <c r="AZ216" t="s">
        <v>50</v>
      </c>
      <c r="BA216" t="s">
        <v>50</v>
      </c>
      <c r="BB216" t="s">
        <v>50</v>
      </c>
      <c r="BC216" t="s">
        <v>50</v>
      </c>
      <c r="BD216" t="s">
        <v>50</v>
      </c>
      <c r="BE216" t="s">
        <v>50</v>
      </c>
      <c r="BF216" t="s">
        <v>50</v>
      </c>
      <c r="BG216" t="s">
        <v>50</v>
      </c>
      <c r="BH216" t="s">
        <v>50</v>
      </c>
      <c r="BI216" t="s">
        <v>50</v>
      </c>
      <c r="BJ216" t="s">
        <v>50</v>
      </c>
      <c r="BK216" t="s">
        <v>50</v>
      </c>
      <c r="BL216" t="s">
        <v>50</v>
      </c>
      <c r="BM216" t="s">
        <v>50</v>
      </c>
      <c r="BN216" t="s">
        <v>50</v>
      </c>
      <c r="BO216" t="s">
        <v>50</v>
      </c>
      <c r="BP216" t="s">
        <v>50</v>
      </c>
      <c r="BQ216" t="s">
        <v>50</v>
      </c>
      <c r="BR216" t="s">
        <v>50</v>
      </c>
      <c r="BS216" t="s">
        <v>50</v>
      </c>
      <c r="BT216" t="s">
        <v>50</v>
      </c>
      <c r="BU216" t="s">
        <v>50</v>
      </c>
      <c r="BV216" t="s">
        <v>50</v>
      </c>
      <c r="BW216" t="s">
        <v>50</v>
      </c>
      <c r="BX216" t="s">
        <v>50</v>
      </c>
      <c r="BY216" t="s">
        <v>50</v>
      </c>
      <c r="BZ216" t="s">
        <v>50</v>
      </c>
      <c r="CA216" t="s">
        <v>50</v>
      </c>
      <c r="CB216" t="s">
        <v>50</v>
      </c>
      <c r="CC216" t="s">
        <v>50</v>
      </c>
      <c r="CD216" t="s">
        <v>50</v>
      </c>
    </row>
    <row r="217" spans="1:82" x14ac:dyDescent="0.3">
      <c r="A217" s="155">
        <v>959</v>
      </c>
      <c r="B217" t="s">
        <v>932</v>
      </c>
      <c r="D217">
        <v>2</v>
      </c>
      <c r="E217">
        <v>2</v>
      </c>
      <c r="F217">
        <v>2</v>
      </c>
      <c r="G217">
        <v>1</v>
      </c>
      <c r="H217">
        <v>3</v>
      </c>
      <c r="I217">
        <v>3</v>
      </c>
      <c r="J217">
        <v>3</v>
      </c>
      <c r="K217">
        <v>2</v>
      </c>
      <c r="L217">
        <v>2</v>
      </c>
      <c r="M217">
        <v>2</v>
      </c>
      <c r="N217">
        <v>3</v>
      </c>
      <c r="O217">
        <v>2</v>
      </c>
      <c r="P217">
        <v>2</v>
      </c>
      <c r="Q217">
        <v>2</v>
      </c>
      <c r="R217">
        <v>3</v>
      </c>
      <c r="S217">
        <v>2</v>
      </c>
      <c r="T217">
        <v>2</v>
      </c>
      <c r="U217">
        <v>2</v>
      </c>
      <c r="V217">
        <v>2</v>
      </c>
      <c r="W217">
        <v>2</v>
      </c>
      <c r="X217">
        <v>3</v>
      </c>
      <c r="Y217">
        <v>3</v>
      </c>
      <c r="Z217">
        <v>3</v>
      </c>
      <c r="AA217">
        <v>2</v>
      </c>
      <c r="AB217">
        <v>2</v>
      </c>
      <c r="AC217">
        <v>2</v>
      </c>
      <c r="AD217">
        <v>2</v>
      </c>
      <c r="AE217">
        <v>2</v>
      </c>
      <c r="AF217">
        <v>2</v>
      </c>
      <c r="AG217">
        <v>3</v>
      </c>
      <c r="AH217">
        <v>2</v>
      </c>
      <c r="AI217">
        <v>2</v>
      </c>
      <c r="AJ217">
        <v>3</v>
      </c>
      <c r="AK217">
        <v>3</v>
      </c>
      <c r="AL217">
        <v>2</v>
      </c>
      <c r="AM217">
        <v>2</v>
      </c>
      <c r="AN217">
        <v>2</v>
      </c>
      <c r="AO217">
        <v>2</v>
      </c>
      <c r="AP217">
        <v>2</v>
      </c>
      <c r="AQ217">
        <v>2</v>
      </c>
      <c r="AR217">
        <v>3</v>
      </c>
      <c r="AS217">
        <v>2</v>
      </c>
      <c r="AT217">
        <v>2</v>
      </c>
      <c r="AU217">
        <v>2</v>
      </c>
      <c r="AV217">
        <v>2</v>
      </c>
      <c r="AW217">
        <v>2</v>
      </c>
      <c r="AX217">
        <v>2</v>
      </c>
      <c r="AY217">
        <v>2</v>
      </c>
      <c r="AZ217">
        <v>2</v>
      </c>
      <c r="BA217">
        <v>2</v>
      </c>
      <c r="BB217">
        <v>2</v>
      </c>
      <c r="BC217">
        <v>2</v>
      </c>
      <c r="BD217">
        <v>2</v>
      </c>
      <c r="BE217">
        <v>2</v>
      </c>
      <c r="BF217">
        <v>2</v>
      </c>
      <c r="BG217">
        <v>3</v>
      </c>
      <c r="BH217">
        <v>2</v>
      </c>
      <c r="BI217">
        <v>2</v>
      </c>
      <c r="BJ217">
        <v>2</v>
      </c>
      <c r="BK217">
        <v>2</v>
      </c>
      <c r="BL217">
        <v>2</v>
      </c>
      <c r="BM217">
        <v>2</v>
      </c>
      <c r="BN217">
        <v>2</v>
      </c>
      <c r="BO217">
        <v>2</v>
      </c>
      <c r="BP217">
        <v>2</v>
      </c>
      <c r="BQ217">
        <v>2</v>
      </c>
      <c r="BR217">
        <v>2</v>
      </c>
      <c r="BS217">
        <v>3</v>
      </c>
      <c r="BT217">
        <v>2</v>
      </c>
      <c r="BU217">
        <v>2</v>
      </c>
      <c r="BV217">
        <v>3</v>
      </c>
      <c r="BW217">
        <v>2</v>
      </c>
      <c r="BX217">
        <v>2</v>
      </c>
      <c r="BY217">
        <v>1</v>
      </c>
      <c r="BZ217">
        <v>2</v>
      </c>
      <c r="CA217">
        <v>2</v>
      </c>
      <c r="CB217">
        <v>2</v>
      </c>
      <c r="CC217">
        <v>2</v>
      </c>
      <c r="CD217">
        <v>2</v>
      </c>
    </row>
    <row r="218" spans="1:82" x14ac:dyDescent="0.3">
      <c r="A218" s="155">
        <v>960</v>
      </c>
      <c r="B218" t="s">
        <v>933</v>
      </c>
      <c r="D218" t="s">
        <v>2237</v>
      </c>
      <c r="E218" t="s">
        <v>2238</v>
      </c>
      <c r="F218" t="s">
        <v>2239</v>
      </c>
      <c r="G218" t="s">
        <v>2240</v>
      </c>
      <c r="H218" t="s">
        <v>2241</v>
      </c>
      <c r="I218" t="s">
        <v>2242</v>
      </c>
      <c r="J218" t="s">
        <v>2243</v>
      </c>
      <c r="K218" t="s">
        <v>2244</v>
      </c>
      <c r="L218" t="s">
        <v>2245</v>
      </c>
      <c r="M218" t="s">
        <v>2246</v>
      </c>
      <c r="N218" t="s">
        <v>2247</v>
      </c>
      <c r="O218" t="s">
        <v>2248</v>
      </c>
      <c r="P218" t="s">
        <v>2249</v>
      </c>
      <c r="Q218" t="s">
        <v>2250</v>
      </c>
      <c r="R218" t="s">
        <v>2251</v>
      </c>
      <c r="S218" t="s">
        <v>2252</v>
      </c>
      <c r="T218" t="s">
        <v>2253</v>
      </c>
      <c r="U218" t="s">
        <v>2254</v>
      </c>
      <c r="V218" t="s">
        <v>2255</v>
      </c>
      <c r="W218" t="s">
        <v>2256</v>
      </c>
      <c r="X218" t="s">
        <v>2257</v>
      </c>
      <c r="Y218" t="s">
        <v>2258</v>
      </c>
      <c r="Z218" t="s">
        <v>2259</v>
      </c>
      <c r="AA218" t="s">
        <v>2260</v>
      </c>
      <c r="AB218" t="s">
        <v>2261</v>
      </c>
      <c r="AC218" t="s">
        <v>2262</v>
      </c>
      <c r="AD218" t="s">
        <v>2084</v>
      </c>
      <c r="AE218" t="s">
        <v>2263</v>
      </c>
      <c r="AF218" t="s">
        <v>2264</v>
      </c>
      <c r="AG218" t="s">
        <v>2265</v>
      </c>
      <c r="AH218" t="s">
        <v>2266</v>
      </c>
      <c r="AI218" t="s">
        <v>2267</v>
      </c>
      <c r="AJ218" t="s">
        <v>2268</v>
      </c>
      <c r="AK218" t="s">
        <v>2269</v>
      </c>
      <c r="AL218" t="s">
        <v>2270</v>
      </c>
      <c r="AM218" t="s">
        <v>2271</v>
      </c>
      <c r="AN218" t="s">
        <v>2272</v>
      </c>
      <c r="AO218" t="s">
        <v>2273</v>
      </c>
      <c r="AP218" t="s">
        <v>2274</v>
      </c>
      <c r="AQ218" t="s">
        <v>2275</v>
      </c>
      <c r="AR218" t="s">
        <v>2276</v>
      </c>
      <c r="AS218" t="s">
        <v>2277</v>
      </c>
      <c r="AT218" t="s">
        <v>2278</v>
      </c>
      <c r="AU218" t="s">
        <v>2279</v>
      </c>
      <c r="AV218" t="s">
        <v>2280</v>
      </c>
      <c r="AW218" t="s">
        <v>2281</v>
      </c>
      <c r="AX218" t="s">
        <v>2282</v>
      </c>
      <c r="AY218" t="s">
        <v>2283</v>
      </c>
      <c r="AZ218" t="s">
        <v>2284</v>
      </c>
      <c r="BA218" t="s">
        <v>2285</v>
      </c>
      <c r="BB218" t="s">
        <v>2286</v>
      </c>
      <c r="BC218" t="s">
        <v>2287</v>
      </c>
      <c r="BD218" t="s">
        <v>2288</v>
      </c>
      <c r="BE218" t="s">
        <v>2289</v>
      </c>
      <c r="BF218" t="s">
        <v>2290</v>
      </c>
      <c r="BG218" t="s">
        <v>2291</v>
      </c>
      <c r="BH218" t="s">
        <v>2292</v>
      </c>
      <c r="BI218" t="s">
        <v>2293</v>
      </c>
      <c r="BJ218" t="s">
        <v>2294</v>
      </c>
      <c r="BK218" t="s">
        <v>2295</v>
      </c>
      <c r="BL218" t="s">
        <v>2296</v>
      </c>
      <c r="BM218" t="s">
        <v>2297</v>
      </c>
      <c r="BN218" t="s">
        <v>2298</v>
      </c>
      <c r="BO218" t="s">
        <v>2299</v>
      </c>
      <c r="BP218" t="s">
        <v>2300</v>
      </c>
      <c r="BQ218" t="s">
        <v>2301</v>
      </c>
      <c r="BR218" t="s">
        <v>2302</v>
      </c>
      <c r="BS218" t="s">
        <v>2303</v>
      </c>
      <c r="BT218" t="s">
        <v>2304</v>
      </c>
      <c r="BU218" t="s">
        <v>2305</v>
      </c>
      <c r="BV218" t="s">
        <v>2306</v>
      </c>
      <c r="BW218" t="s">
        <v>2307</v>
      </c>
      <c r="BX218" t="s">
        <v>2308</v>
      </c>
      <c r="BY218" t="s">
        <v>2309</v>
      </c>
      <c r="BZ218" t="s">
        <v>2310</v>
      </c>
      <c r="CA218" t="s">
        <v>2311</v>
      </c>
      <c r="CB218" t="s">
        <v>2312</v>
      </c>
      <c r="CC218" t="s">
        <v>2313</v>
      </c>
      <c r="CD218" t="s">
        <v>2314</v>
      </c>
    </row>
    <row r="219" spans="1:82" x14ac:dyDescent="0.3">
      <c r="A219" s="155">
        <v>962</v>
      </c>
      <c r="B219" t="s">
        <v>934</v>
      </c>
      <c r="D219" t="s">
        <v>2315</v>
      </c>
      <c r="E219" t="s">
        <v>2316</v>
      </c>
      <c r="F219" t="s">
        <v>936</v>
      </c>
      <c r="G219" t="s">
        <v>938</v>
      </c>
      <c r="H219" t="s">
        <v>2317</v>
      </c>
      <c r="I219" t="s">
        <v>936</v>
      </c>
      <c r="J219" t="s">
        <v>938</v>
      </c>
      <c r="K219" t="s">
        <v>2318</v>
      </c>
      <c r="L219" t="s">
        <v>936</v>
      </c>
      <c r="M219" t="s">
        <v>1995</v>
      </c>
      <c r="N219" t="s">
        <v>936</v>
      </c>
      <c r="O219" t="s">
        <v>2319</v>
      </c>
      <c r="P219" t="s">
        <v>936</v>
      </c>
      <c r="Q219" t="s">
        <v>936</v>
      </c>
      <c r="R219" t="s">
        <v>936</v>
      </c>
      <c r="S219" t="s">
        <v>2320</v>
      </c>
      <c r="T219" t="s">
        <v>938</v>
      </c>
      <c r="U219" t="s">
        <v>936</v>
      </c>
      <c r="V219" t="s">
        <v>936</v>
      </c>
      <c r="W219" t="s">
        <v>936</v>
      </c>
      <c r="X219" t="s">
        <v>936</v>
      </c>
      <c r="Y219" t="s">
        <v>936</v>
      </c>
      <c r="Z219" t="s">
        <v>935</v>
      </c>
      <c r="AA219" t="s">
        <v>936</v>
      </c>
      <c r="AB219" t="s">
        <v>936</v>
      </c>
      <c r="AC219" t="s">
        <v>935</v>
      </c>
      <c r="AD219" t="s">
        <v>2150</v>
      </c>
      <c r="AE219" t="s">
        <v>938</v>
      </c>
      <c r="AF219" t="s">
        <v>2321</v>
      </c>
      <c r="AG219" t="s">
        <v>936</v>
      </c>
      <c r="AH219" t="s">
        <v>936</v>
      </c>
      <c r="AI219" t="s">
        <v>936</v>
      </c>
      <c r="AJ219" t="s">
        <v>2322</v>
      </c>
      <c r="AK219" t="s">
        <v>2315</v>
      </c>
      <c r="AL219" t="s">
        <v>935</v>
      </c>
      <c r="AM219" t="s">
        <v>938</v>
      </c>
      <c r="AN219" t="s">
        <v>936</v>
      </c>
      <c r="AO219" t="s">
        <v>936</v>
      </c>
      <c r="AP219" t="s">
        <v>935</v>
      </c>
      <c r="AQ219" t="s">
        <v>936</v>
      </c>
      <c r="AR219" t="s">
        <v>936</v>
      </c>
      <c r="AS219" t="s">
        <v>1057</v>
      </c>
      <c r="AT219" t="s">
        <v>2323</v>
      </c>
      <c r="AU219" t="s">
        <v>935</v>
      </c>
      <c r="AV219" t="s">
        <v>2324</v>
      </c>
      <c r="AW219" t="s">
        <v>936</v>
      </c>
      <c r="AX219" t="s">
        <v>2325</v>
      </c>
      <c r="AY219" t="s">
        <v>936</v>
      </c>
      <c r="AZ219" t="s">
        <v>937</v>
      </c>
      <c r="BA219" t="s">
        <v>936</v>
      </c>
      <c r="BB219" t="s">
        <v>936</v>
      </c>
      <c r="BC219" t="s">
        <v>936</v>
      </c>
      <c r="BD219" t="s">
        <v>2320</v>
      </c>
      <c r="BE219" t="s">
        <v>936</v>
      </c>
      <c r="BF219" t="s">
        <v>935</v>
      </c>
      <c r="BG219" t="s">
        <v>936</v>
      </c>
      <c r="BH219" t="s">
        <v>936</v>
      </c>
      <c r="BI219" t="s">
        <v>935</v>
      </c>
      <c r="BJ219" t="s">
        <v>936</v>
      </c>
      <c r="BK219" t="s">
        <v>936</v>
      </c>
      <c r="BL219" t="s">
        <v>935</v>
      </c>
      <c r="BM219" t="s">
        <v>935</v>
      </c>
      <c r="BN219" t="s">
        <v>2326</v>
      </c>
      <c r="BO219" t="s">
        <v>936</v>
      </c>
      <c r="BP219" t="s">
        <v>2324</v>
      </c>
      <c r="BQ219" t="s">
        <v>936</v>
      </c>
      <c r="BR219" t="s">
        <v>935</v>
      </c>
      <c r="BS219" t="s">
        <v>935</v>
      </c>
      <c r="BT219" t="s">
        <v>935</v>
      </c>
      <c r="BU219" t="s">
        <v>938</v>
      </c>
      <c r="BV219" t="s">
        <v>936</v>
      </c>
      <c r="BW219" t="s">
        <v>2327</v>
      </c>
      <c r="BX219" t="s">
        <v>936</v>
      </c>
      <c r="BY219" t="s">
        <v>935</v>
      </c>
      <c r="BZ219" t="s">
        <v>938</v>
      </c>
      <c r="CA219" t="s">
        <v>935</v>
      </c>
      <c r="CB219" t="s">
        <v>2328</v>
      </c>
      <c r="CC219" t="s">
        <v>936</v>
      </c>
      <c r="CD219" t="s">
        <v>935</v>
      </c>
    </row>
    <row r="220" spans="1:82" x14ac:dyDescent="0.3">
      <c r="A220" s="155">
        <v>964</v>
      </c>
      <c r="B220" t="s">
        <v>939</v>
      </c>
      <c r="D220" t="s">
        <v>2329</v>
      </c>
      <c r="E220" t="s">
        <v>2330</v>
      </c>
      <c r="F220" t="s">
        <v>2331</v>
      </c>
      <c r="G220" t="s">
        <v>1636</v>
      </c>
      <c r="H220" t="s">
        <v>2332</v>
      </c>
      <c r="I220" t="s">
        <v>2333</v>
      </c>
      <c r="J220" t="s">
        <v>2334</v>
      </c>
      <c r="K220" t="s">
        <v>1606</v>
      </c>
      <c r="L220" t="s">
        <v>1616</v>
      </c>
      <c r="M220" t="s">
        <v>2335</v>
      </c>
      <c r="N220" t="s">
        <v>1614</v>
      </c>
      <c r="O220" t="s">
        <v>2336</v>
      </c>
      <c r="P220" t="s">
        <v>2337</v>
      </c>
      <c r="Q220" t="s">
        <v>1605</v>
      </c>
      <c r="R220" t="s">
        <v>1614</v>
      </c>
      <c r="S220" t="s">
        <v>2338</v>
      </c>
      <c r="T220" t="s">
        <v>2339</v>
      </c>
      <c r="U220" t="s">
        <v>2208</v>
      </c>
      <c r="V220" t="s">
        <v>2340</v>
      </c>
      <c r="W220" t="s">
        <v>2341</v>
      </c>
      <c r="X220" t="s">
        <v>1615</v>
      </c>
      <c r="Y220" t="s">
        <v>1627</v>
      </c>
      <c r="Z220" t="s">
        <v>2342</v>
      </c>
      <c r="AA220" t="s">
        <v>2330</v>
      </c>
      <c r="AB220" t="s">
        <v>1611</v>
      </c>
      <c r="AC220" t="s">
        <v>1615</v>
      </c>
      <c r="AD220" t="s">
        <v>1611</v>
      </c>
      <c r="AE220" t="s">
        <v>2343</v>
      </c>
      <c r="AF220" t="s">
        <v>2332</v>
      </c>
      <c r="AG220" t="s">
        <v>1603</v>
      </c>
      <c r="AH220" t="s">
        <v>1618</v>
      </c>
      <c r="AI220" t="s">
        <v>2344</v>
      </c>
      <c r="AJ220" t="s">
        <v>2345</v>
      </c>
      <c r="AK220" t="s">
        <v>1615</v>
      </c>
      <c r="AL220" t="s">
        <v>2015</v>
      </c>
      <c r="AM220" t="s">
        <v>2346</v>
      </c>
      <c r="AN220" t="s">
        <v>1606</v>
      </c>
      <c r="AO220" t="s">
        <v>1608</v>
      </c>
      <c r="AP220" t="s">
        <v>1610</v>
      </c>
      <c r="AQ220" t="s">
        <v>1610</v>
      </c>
      <c r="AR220" t="s">
        <v>1614</v>
      </c>
      <c r="AS220" t="s">
        <v>2347</v>
      </c>
      <c r="AT220" t="s">
        <v>2348</v>
      </c>
      <c r="AU220" t="s">
        <v>1611</v>
      </c>
      <c r="AV220" t="s">
        <v>1606</v>
      </c>
      <c r="AW220" t="s">
        <v>1629</v>
      </c>
      <c r="AX220" t="s">
        <v>1620</v>
      </c>
      <c r="AY220" t="s">
        <v>1615</v>
      </c>
      <c r="AZ220" t="s">
        <v>2349</v>
      </c>
      <c r="BA220" t="s">
        <v>2350</v>
      </c>
      <c r="BB220" t="s">
        <v>1615</v>
      </c>
      <c r="BC220" t="s">
        <v>1608</v>
      </c>
      <c r="BD220" t="s">
        <v>1606</v>
      </c>
      <c r="BE220" t="s">
        <v>1617</v>
      </c>
      <c r="BF220" t="s">
        <v>1636</v>
      </c>
      <c r="BG220" t="s">
        <v>2351</v>
      </c>
      <c r="BH220" t="s">
        <v>1598</v>
      </c>
      <c r="BI220" t="s">
        <v>2352</v>
      </c>
      <c r="BJ220" t="s">
        <v>1605</v>
      </c>
      <c r="BK220" t="s">
        <v>2353</v>
      </c>
      <c r="BL220" t="s">
        <v>1614</v>
      </c>
      <c r="BM220" t="s">
        <v>1611</v>
      </c>
      <c r="BN220" t="s">
        <v>1609</v>
      </c>
      <c r="BO220" t="s">
        <v>1616</v>
      </c>
      <c r="BP220" t="s">
        <v>1611</v>
      </c>
      <c r="BQ220" t="s">
        <v>2354</v>
      </c>
      <c r="BR220" t="s">
        <v>1615</v>
      </c>
      <c r="BS220" t="s">
        <v>1630</v>
      </c>
      <c r="BT220" t="s">
        <v>2355</v>
      </c>
      <c r="BU220" t="s">
        <v>1618</v>
      </c>
      <c r="BV220" t="s">
        <v>1614</v>
      </c>
      <c r="BW220" t="s">
        <v>2336</v>
      </c>
      <c r="BX220" t="s">
        <v>1974</v>
      </c>
      <c r="BY220" t="s">
        <v>1611</v>
      </c>
      <c r="BZ220" t="s">
        <v>1621</v>
      </c>
      <c r="CA220" t="s">
        <v>1618</v>
      </c>
      <c r="CB220" t="s">
        <v>1628</v>
      </c>
      <c r="CC220" t="s">
        <v>1602</v>
      </c>
      <c r="CD220" t="s">
        <v>1604</v>
      </c>
    </row>
    <row r="221" spans="1:82" x14ac:dyDescent="0.3">
      <c r="A221" s="155">
        <v>966</v>
      </c>
      <c r="B221" t="s">
        <v>940</v>
      </c>
      <c r="D221" t="s">
        <v>2356</v>
      </c>
      <c r="F221" t="s">
        <v>2357</v>
      </c>
      <c r="G221" t="s">
        <v>2358</v>
      </c>
      <c r="H221" t="s">
        <v>2359</v>
      </c>
      <c r="I221" t="s">
        <v>2360</v>
      </c>
      <c r="J221" t="s">
        <v>2361</v>
      </c>
      <c r="K221" t="s">
        <v>2362</v>
      </c>
      <c r="L221" t="s">
        <v>2363</v>
      </c>
      <c r="M221" t="s">
        <v>2364</v>
      </c>
      <c r="N221" t="s">
        <v>2365</v>
      </c>
      <c r="O221" t="s">
        <v>2366</v>
      </c>
      <c r="P221" t="s">
        <v>2367</v>
      </c>
      <c r="Q221" t="s">
        <v>2368</v>
      </c>
      <c r="R221" t="s">
        <v>2369</v>
      </c>
      <c r="S221" t="s">
        <v>2370</v>
      </c>
      <c r="T221" t="s">
        <v>2371</v>
      </c>
      <c r="U221" t="s">
        <v>2372</v>
      </c>
      <c r="V221" t="s">
        <v>2373</v>
      </c>
      <c r="W221" t="s">
        <v>2374</v>
      </c>
      <c r="X221" t="s">
        <v>2375</v>
      </c>
      <c r="Y221" t="s">
        <v>2376</v>
      </c>
      <c r="Z221" t="s">
        <v>2377</v>
      </c>
      <c r="AA221" t="s">
        <v>2378</v>
      </c>
      <c r="AB221" t="s">
        <v>2379</v>
      </c>
      <c r="AC221" t="s">
        <v>2380</v>
      </c>
      <c r="AD221" t="s">
        <v>2381</v>
      </c>
      <c r="AE221" t="s">
        <v>2382</v>
      </c>
      <c r="AF221" t="s">
        <v>2383</v>
      </c>
      <c r="AG221" t="s">
        <v>2384</v>
      </c>
      <c r="AH221" t="s">
        <v>2385</v>
      </c>
      <c r="AI221" t="s">
        <v>2386</v>
      </c>
      <c r="AJ221" t="s">
        <v>2387</v>
      </c>
      <c r="AK221" t="s">
        <v>2388</v>
      </c>
      <c r="AL221" t="s">
        <v>2389</v>
      </c>
      <c r="AN221" t="s">
        <v>2390</v>
      </c>
      <c r="AO221" t="s">
        <v>2391</v>
      </c>
      <c r="AP221" t="s">
        <v>2392</v>
      </c>
      <c r="AQ221" t="s">
        <v>2393</v>
      </c>
      <c r="AR221" t="s">
        <v>2394</v>
      </c>
      <c r="AS221" t="s">
        <v>2395</v>
      </c>
      <c r="AT221" t="s">
        <v>2396</v>
      </c>
      <c r="AU221" t="s">
        <v>2397</v>
      </c>
      <c r="AV221" t="s">
        <v>2398</v>
      </c>
      <c r="AW221" t="s">
        <v>2399</v>
      </c>
      <c r="AX221" t="s">
        <v>2400</v>
      </c>
      <c r="AY221" t="s">
        <v>2401</v>
      </c>
      <c r="AZ221" t="s">
        <v>2402</v>
      </c>
      <c r="BA221" t="s">
        <v>2403</v>
      </c>
      <c r="BB221" t="s">
        <v>2404</v>
      </c>
      <c r="BC221" t="s">
        <v>2405</v>
      </c>
      <c r="BD221" t="s">
        <v>2406</v>
      </c>
      <c r="BE221" t="s">
        <v>2407</v>
      </c>
      <c r="BF221" t="s">
        <v>2408</v>
      </c>
      <c r="BG221" t="s">
        <v>2409</v>
      </c>
      <c r="BH221" t="s">
        <v>2410</v>
      </c>
      <c r="BI221" t="s">
        <v>2411</v>
      </c>
      <c r="BJ221" t="s">
        <v>2412</v>
      </c>
      <c r="BK221" t="s">
        <v>2413</v>
      </c>
      <c r="BL221" t="s">
        <v>2414</v>
      </c>
      <c r="BM221" t="s">
        <v>2415</v>
      </c>
      <c r="BN221" t="s">
        <v>2416</v>
      </c>
      <c r="BO221" t="s">
        <v>2417</v>
      </c>
      <c r="BP221" t="s">
        <v>2418</v>
      </c>
      <c r="BQ221" t="s">
        <v>2419</v>
      </c>
      <c r="BR221" t="s">
        <v>2420</v>
      </c>
      <c r="BS221" t="s">
        <v>2421</v>
      </c>
      <c r="BT221" t="s">
        <v>2422</v>
      </c>
      <c r="BU221" t="s">
        <v>2423</v>
      </c>
      <c r="BV221" t="s">
        <v>2424</v>
      </c>
      <c r="BW221" t="s">
        <v>2425</v>
      </c>
      <c r="BX221" t="s">
        <v>2426</v>
      </c>
      <c r="BY221" t="s">
        <v>2427</v>
      </c>
      <c r="BZ221" t="s">
        <v>2428</v>
      </c>
      <c r="CA221" t="s">
        <v>2429</v>
      </c>
      <c r="CB221" t="s">
        <v>2430</v>
      </c>
      <c r="CC221" t="s">
        <v>2431</v>
      </c>
      <c r="CD221" t="s">
        <v>2432</v>
      </c>
    </row>
    <row r="222" spans="1:82" x14ac:dyDescent="0.3">
      <c r="A222" s="155">
        <v>968</v>
      </c>
      <c r="B222" t="s">
        <v>941</v>
      </c>
      <c r="D222" t="s">
        <v>2433</v>
      </c>
      <c r="E222" t="s">
        <v>2434</v>
      </c>
      <c r="F222" t="s">
        <v>2435</v>
      </c>
      <c r="G222" t="s">
        <v>2436</v>
      </c>
      <c r="H222" t="s">
        <v>2437</v>
      </c>
      <c r="I222" t="s">
        <v>2438</v>
      </c>
      <c r="J222" t="s">
        <v>2439</v>
      </c>
      <c r="K222" t="s">
        <v>2440</v>
      </c>
      <c r="L222" t="s">
        <v>2441</v>
      </c>
      <c r="M222" t="s">
        <v>2442</v>
      </c>
      <c r="N222" t="s">
        <v>2443</v>
      </c>
      <c r="O222" t="s">
        <v>2444</v>
      </c>
      <c r="P222" t="s">
        <v>2445</v>
      </c>
      <c r="Q222" t="s">
        <v>2446</v>
      </c>
      <c r="R222" t="s">
        <v>2447</v>
      </c>
      <c r="S222" t="s">
        <v>2448</v>
      </c>
      <c r="T222" t="s">
        <v>2449</v>
      </c>
      <c r="U222" t="s">
        <v>2450</v>
      </c>
      <c r="V222" t="s">
        <v>2451</v>
      </c>
      <c r="W222" t="s">
        <v>2452</v>
      </c>
      <c r="X222" t="s">
        <v>2453</v>
      </c>
      <c r="Y222" t="s">
        <v>2454</v>
      </c>
      <c r="Z222" t="s">
        <v>2455</v>
      </c>
      <c r="AA222" t="s">
        <v>2456</v>
      </c>
      <c r="AB222" t="s">
        <v>2457</v>
      </c>
      <c r="AC222" t="s">
        <v>2458</v>
      </c>
      <c r="AD222" t="s">
        <v>2459</v>
      </c>
      <c r="AE222" t="s">
        <v>2460</v>
      </c>
      <c r="AF222" t="s">
        <v>2461</v>
      </c>
      <c r="AG222" t="s">
        <v>2462</v>
      </c>
      <c r="AH222" t="s">
        <v>2463</v>
      </c>
      <c r="AI222" t="s">
        <v>2464</v>
      </c>
      <c r="AJ222" t="s">
        <v>2465</v>
      </c>
      <c r="AK222" t="s">
        <v>2466</v>
      </c>
      <c r="AL222" t="s">
        <v>2467</v>
      </c>
      <c r="AM222" t="s">
        <v>2468</v>
      </c>
      <c r="AN222" t="s">
        <v>2469</v>
      </c>
      <c r="AO222" t="s">
        <v>2470</v>
      </c>
      <c r="AP222" t="s">
        <v>2471</v>
      </c>
      <c r="AQ222" t="s">
        <v>2472</v>
      </c>
      <c r="AR222" t="s">
        <v>2473</v>
      </c>
      <c r="AS222" t="s">
        <v>2474</v>
      </c>
      <c r="AT222" t="s">
        <v>2475</v>
      </c>
      <c r="AU222" t="s">
        <v>2476</v>
      </c>
      <c r="AV222" t="s">
        <v>2477</v>
      </c>
      <c r="AW222" t="s">
        <v>2478</v>
      </c>
      <c r="AX222" t="s">
        <v>2479</v>
      </c>
      <c r="AY222" t="s">
        <v>2480</v>
      </c>
      <c r="AZ222" t="s">
        <v>2481</v>
      </c>
      <c r="BA222" t="s">
        <v>2482</v>
      </c>
      <c r="BB222" t="s">
        <v>2483</v>
      </c>
      <c r="BC222" t="s">
        <v>2484</v>
      </c>
      <c r="BD222" t="s">
        <v>2485</v>
      </c>
      <c r="BE222" t="s">
        <v>2486</v>
      </c>
      <c r="BF222" t="s">
        <v>2487</v>
      </c>
      <c r="BG222" t="s">
        <v>2488</v>
      </c>
      <c r="BH222" t="s">
        <v>2489</v>
      </c>
      <c r="BI222" t="s">
        <v>2490</v>
      </c>
      <c r="BJ222" t="s">
        <v>2491</v>
      </c>
      <c r="BK222" t="s">
        <v>2492</v>
      </c>
      <c r="BL222" t="s">
        <v>2493</v>
      </c>
      <c r="BM222" t="s">
        <v>2494</v>
      </c>
      <c r="BN222" t="s">
        <v>2495</v>
      </c>
      <c r="BO222" t="s">
        <v>2496</v>
      </c>
      <c r="BP222" t="s">
        <v>2497</v>
      </c>
      <c r="BQ222" t="s">
        <v>2498</v>
      </c>
      <c r="BR222" t="s">
        <v>2499</v>
      </c>
      <c r="BS222" t="s">
        <v>2500</v>
      </c>
      <c r="BT222" t="s">
        <v>2501</v>
      </c>
      <c r="BU222" t="s">
        <v>2502</v>
      </c>
      <c r="BV222" t="s">
        <v>2503</v>
      </c>
      <c r="BW222" t="s">
        <v>2504</v>
      </c>
      <c r="BX222" t="s">
        <v>2505</v>
      </c>
      <c r="BY222" t="s">
        <v>2506</v>
      </c>
      <c r="BZ222" t="s">
        <v>2507</v>
      </c>
      <c r="CA222" t="s">
        <v>2508</v>
      </c>
      <c r="CB222" t="s">
        <v>2509</v>
      </c>
      <c r="CC222" t="s">
        <v>2510</v>
      </c>
      <c r="CD222" t="s">
        <v>2511</v>
      </c>
    </row>
    <row r="223" spans="1:82" x14ac:dyDescent="0.3">
      <c r="A223" s="155">
        <v>973</v>
      </c>
      <c r="B223" t="s">
        <v>1623</v>
      </c>
      <c r="D223">
        <v>0</v>
      </c>
      <c r="E223">
        <v>0</v>
      </c>
      <c r="F223">
        <v>0</v>
      </c>
      <c r="G223">
        <v>0</v>
      </c>
      <c r="H223">
        <v>0</v>
      </c>
      <c r="I223">
        <v>0</v>
      </c>
      <c r="J223">
        <v>0</v>
      </c>
      <c r="K223">
        <v>0</v>
      </c>
      <c r="L223">
        <v>0</v>
      </c>
      <c r="M223">
        <v>0</v>
      </c>
      <c r="N223">
        <v>0</v>
      </c>
      <c r="O223">
        <v>0</v>
      </c>
      <c r="P223">
        <v>0</v>
      </c>
      <c r="Q223">
        <v>1</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1</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1</v>
      </c>
      <c r="BW223">
        <v>0</v>
      </c>
      <c r="BX223">
        <v>0</v>
      </c>
      <c r="BY223">
        <v>0</v>
      </c>
      <c r="BZ223">
        <v>0</v>
      </c>
      <c r="CA223">
        <v>0</v>
      </c>
      <c r="CB223">
        <v>0</v>
      </c>
      <c r="CC223">
        <v>0</v>
      </c>
      <c r="CD223">
        <v>0</v>
      </c>
    </row>
    <row r="224" spans="1:82" x14ac:dyDescent="0.3">
      <c r="A224" s="155">
        <v>974</v>
      </c>
      <c r="B224" t="s">
        <v>942</v>
      </c>
      <c r="D224">
        <v>2</v>
      </c>
      <c r="E224">
        <v>2</v>
      </c>
      <c r="F224">
        <v>2</v>
      </c>
      <c r="G224">
        <v>2</v>
      </c>
      <c r="H224">
        <v>3</v>
      </c>
      <c r="I224">
        <v>3</v>
      </c>
      <c r="J224">
        <v>3</v>
      </c>
      <c r="K224">
        <v>2</v>
      </c>
      <c r="L224">
        <v>2</v>
      </c>
      <c r="M224">
        <v>2</v>
      </c>
      <c r="N224">
        <v>3</v>
      </c>
      <c r="O224">
        <v>2</v>
      </c>
      <c r="P224">
        <v>2</v>
      </c>
      <c r="Q224">
        <v>2</v>
      </c>
      <c r="R224">
        <v>3</v>
      </c>
      <c r="S224">
        <v>2</v>
      </c>
      <c r="T224">
        <v>2</v>
      </c>
      <c r="U224">
        <v>2</v>
      </c>
      <c r="V224">
        <v>2</v>
      </c>
      <c r="W224">
        <v>2</v>
      </c>
      <c r="X224">
        <v>3</v>
      </c>
      <c r="Y224">
        <v>2</v>
      </c>
      <c r="Z224">
        <v>2</v>
      </c>
      <c r="AA224">
        <v>2</v>
      </c>
      <c r="AB224">
        <v>3</v>
      </c>
      <c r="AC224">
        <v>2</v>
      </c>
      <c r="AD224">
        <v>2</v>
      </c>
      <c r="AE224">
        <v>2</v>
      </c>
      <c r="AF224">
        <v>2</v>
      </c>
      <c r="AG224">
        <v>3</v>
      </c>
      <c r="AH224">
        <v>2</v>
      </c>
      <c r="AI224">
        <v>2</v>
      </c>
      <c r="AJ224">
        <v>3</v>
      </c>
      <c r="AK224">
        <v>2</v>
      </c>
      <c r="AL224">
        <v>2</v>
      </c>
      <c r="AM224">
        <v>2</v>
      </c>
      <c r="AN224">
        <v>2</v>
      </c>
      <c r="AO224">
        <v>2</v>
      </c>
      <c r="AP224">
        <v>2</v>
      </c>
      <c r="AQ224">
        <v>2</v>
      </c>
      <c r="AR224">
        <v>3</v>
      </c>
      <c r="AS224">
        <v>2</v>
      </c>
      <c r="AT224">
        <v>2</v>
      </c>
      <c r="AU224">
        <v>2</v>
      </c>
      <c r="AV224">
        <v>2</v>
      </c>
      <c r="AW224">
        <v>2</v>
      </c>
      <c r="AX224">
        <v>2</v>
      </c>
      <c r="AY224">
        <v>2</v>
      </c>
      <c r="AZ224">
        <v>2</v>
      </c>
      <c r="BA224">
        <v>1</v>
      </c>
      <c r="BB224">
        <v>2</v>
      </c>
      <c r="BC224">
        <v>2</v>
      </c>
      <c r="BD224">
        <v>3</v>
      </c>
      <c r="BE224">
        <v>2</v>
      </c>
      <c r="BF224">
        <v>2</v>
      </c>
      <c r="BG224">
        <v>3</v>
      </c>
      <c r="BH224">
        <v>2</v>
      </c>
      <c r="BI224">
        <v>2</v>
      </c>
      <c r="BJ224">
        <v>3</v>
      </c>
      <c r="BK224">
        <v>3</v>
      </c>
      <c r="BL224">
        <v>2</v>
      </c>
      <c r="BM224">
        <v>2</v>
      </c>
      <c r="BN224">
        <v>2</v>
      </c>
      <c r="BO224">
        <v>2</v>
      </c>
      <c r="BP224">
        <v>2</v>
      </c>
      <c r="BQ224">
        <v>2</v>
      </c>
      <c r="BR224">
        <v>2</v>
      </c>
      <c r="BS224">
        <v>2</v>
      </c>
      <c r="BT224">
        <v>2</v>
      </c>
      <c r="BU224">
        <v>2</v>
      </c>
      <c r="BV224">
        <v>3</v>
      </c>
      <c r="BW224">
        <v>2</v>
      </c>
      <c r="BX224">
        <v>2</v>
      </c>
      <c r="BY224">
        <v>2</v>
      </c>
      <c r="BZ224">
        <v>2</v>
      </c>
      <c r="CA224">
        <v>2</v>
      </c>
      <c r="CB224">
        <v>2</v>
      </c>
      <c r="CC224">
        <v>2</v>
      </c>
      <c r="CD224">
        <v>2</v>
      </c>
    </row>
    <row r="225" spans="1:82" x14ac:dyDescent="0.3">
      <c r="A225" s="155">
        <v>975</v>
      </c>
      <c r="B225" t="s">
        <v>596</v>
      </c>
      <c r="D225">
        <v>1</v>
      </c>
      <c r="E225">
        <v>1</v>
      </c>
      <c r="F225">
        <v>1</v>
      </c>
      <c r="G225">
        <v>1</v>
      </c>
      <c r="H225">
        <v>2</v>
      </c>
      <c r="I225">
        <v>1</v>
      </c>
      <c r="J225">
        <v>1</v>
      </c>
      <c r="K225">
        <v>2</v>
      </c>
      <c r="L225">
        <v>1</v>
      </c>
      <c r="M225">
        <v>1</v>
      </c>
      <c r="N225">
        <v>2</v>
      </c>
      <c r="O225">
        <v>2</v>
      </c>
      <c r="P225">
        <v>1</v>
      </c>
      <c r="Q225">
        <v>1</v>
      </c>
      <c r="R225">
        <v>1</v>
      </c>
      <c r="S225">
        <v>1</v>
      </c>
      <c r="T225">
        <v>1</v>
      </c>
      <c r="U225">
        <v>1</v>
      </c>
      <c r="V225">
        <v>2</v>
      </c>
      <c r="W225">
        <v>1</v>
      </c>
      <c r="X225">
        <v>1</v>
      </c>
      <c r="Y225">
        <v>1</v>
      </c>
      <c r="Z225">
        <v>1</v>
      </c>
      <c r="AA225">
        <v>1</v>
      </c>
      <c r="AB225">
        <v>1</v>
      </c>
      <c r="AC225">
        <v>2</v>
      </c>
      <c r="AD225">
        <v>1</v>
      </c>
      <c r="AE225">
        <v>1</v>
      </c>
      <c r="AF225">
        <v>2</v>
      </c>
      <c r="AG225">
        <v>1</v>
      </c>
      <c r="AH225">
        <v>1</v>
      </c>
      <c r="AI225">
        <v>1</v>
      </c>
      <c r="AJ225">
        <v>1</v>
      </c>
      <c r="AK225">
        <v>1</v>
      </c>
      <c r="AL225">
        <v>1</v>
      </c>
      <c r="AM225">
        <v>1</v>
      </c>
      <c r="AN225">
        <v>2</v>
      </c>
      <c r="AO225">
        <v>2</v>
      </c>
      <c r="AP225">
        <v>2</v>
      </c>
      <c r="AQ225">
        <v>2</v>
      </c>
      <c r="AR225">
        <v>2</v>
      </c>
      <c r="AS225">
        <v>1</v>
      </c>
      <c r="AT225">
        <v>1</v>
      </c>
      <c r="AU225">
        <v>1</v>
      </c>
      <c r="AV225">
        <v>1</v>
      </c>
      <c r="AW225">
        <v>1</v>
      </c>
      <c r="AX225">
        <v>1</v>
      </c>
      <c r="AY225">
        <v>1</v>
      </c>
      <c r="AZ225">
        <v>1</v>
      </c>
      <c r="BA225">
        <v>1</v>
      </c>
      <c r="BB225">
        <v>2</v>
      </c>
      <c r="BC225">
        <v>1</v>
      </c>
      <c r="BD225">
        <v>1</v>
      </c>
      <c r="BE225">
        <v>1</v>
      </c>
      <c r="BF225">
        <v>2</v>
      </c>
      <c r="BG225">
        <v>1</v>
      </c>
      <c r="BH225">
        <v>2</v>
      </c>
      <c r="BI225">
        <v>1</v>
      </c>
      <c r="BJ225">
        <v>2</v>
      </c>
      <c r="BK225">
        <v>1</v>
      </c>
      <c r="BL225">
        <v>1</v>
      </c>
      <c r="BM225">
        <v>2</v>
      </c>
      <c r="BN225">
        <v>1</v>
      </c>
      <c r="BO225">
        <v>1</v>
      </c>
      <c r="BP225">
        <v>2</v>
      </c>
      <c r="BQ225">
        <v>1</v>
      </c>
      <c r="BR225">
        <v>1</v>
      </c>
      <c r="BS225">
        <v>1</v>
      </c>
      <c r="BT225">
        <v>1</v>
      </c>
      <c r="BU225">
        <v>1</v>
      </c>
      <c r="BV225">
        <v>1</v>
      </c>
      <c r="BW225">
        <v>2</v>
      </c>
      <c r="BX225">
        <v>1</v>
      </c>
      <c r="BY225">
        <v>1</v>
      </c>
      <c r="BZ225">
        <v>1</v>
      </c>
      <c r="CA225">
        <v>2</v>
      </c>
      <c r="CB225">
        <v>1</v>
      </c>
      <c r="CC225">
        <v>2</v>
      </c>
      <c r="CD225">
        <v>2</v>
      </c>
    </row>
    <row r="226" spans="1:82" x14ac:dyDescent="0.3">
      <c r="A226" s="155">
        <v>979</v>
      </c>
      <c r="B226" t="s">
        <v>943</v>
      </c>
      <c r="D226">
        <v>2</v>
      </c>
      <c r="E226">
        <v>1</v>
      </c>
      <c r="F226">
        <v>1</v>
      </c>
      <c r="G226">
        <v>1</v>
      </c>
      <c r="H226">
        <v>1</v>
      </c>
      <c r="I226">
        <v>2</v>
      </c>
      <c r="J226">
        <v>1</v>
      </c>
      <c r="K226">
        <v>1</v>
      </c>
      <c r="L226">
        <v>2</v>
      </c>
      <c r="M226">
        <v>2</v>
      </c>
      <c r="N226">
        <v>1</v>
      </c>
      <c r="O226">
        <v>1</v>
      </c>
      <c r="P226">
        <v>2</v>
      </c>
      <c r="Q226">
        <v>1</v>
      </c>
      <c r="R226">
        <v>1</v>
      </c>
      <c r="S226">
        <v>2</v>
      </c>
      <c r="T226">
        <v>1</v>
      </c>
      <c r="U226">
        <v>1</v>
      </c>
      <c r="V226">
        <v>1</v>
      </c>
      <c r="W226">
        <v>2</v>
      </c>
      <c r="X226">
        <v>1</v>
      </c>
      <c r="Y226">
        <v>2</v>
      </c>
      <c r="Z226">
        <v>2</v>
      </c>
      <c r="AA226">
        <v>1</v>
      </c>
      <c r="AB226">
        <v>1</v>
      </c>
      <c r="AC226">
        <v>1</v>
      </c>
      <c r="AD226">
        <v>1</v>
      </c>
      <c r="AE226">
        <v>2</v>
      </c>
      <c r="AF226">
        <v>1</v>
      </c>
      <c r="AG226">
        <v>2</v>
      </c>
      <c r="AH226">
        <v>1</v>
      </c>
      <c r="AI226">
        <v>2</v>
      </c>
      <c r="AJ226">
        <v>1</v>
      </c>
      <c r="AK226">
        <v>1</v>
      </c>
      <c r="AL226">
        <v>2</v>
      </c>
      <c r="AM226">
        <v>1</v>
      </c>
      <c r="AN226">
        <v>1</v>
      </c>
      <c r="AO226">
        <v>1</v>
      </c>
      <c r="AP226">
        <v>1</v>
      </c>
      <c r="AQ226">
        <v>1</v>
      </c>
      <c r="AR226">
        <v>1</v>
      </c>
      <c r="AS226">
        <v>2</v>
      </c>
      <c r="AT226">
        <v>2</v>
      </c>
      <c r="AU226">
        <v>1</v>
      </c>
      <c r="AV226">
        <v>1</v>
      </c>
      <c r="AW226">
        <v>2</v>
      </c>
      <c r="AX226">
        <v>1</v>
      </c>
      <c r="AY226">
        <v>1</v>
      </c>
      <c r="AZ226">
        <v>1</v>
      </c>
      <c r="BA226">
        <v>2</v>
      </c>
      <c r="BB226">
        <v>1</v>
      </c>
      <c r="BC226">
        <v>1</v>
      </c>
      <c r="BD226">
        <v>1</v>
      </c>
      <c r="BE226">
        <v>1</v>
      </c>
      <c r="BF226">
        <v>1</v>
      </c>
      <c r="BG226">
        <v>2</v>
      </c>
      <c r="BH226">
        <v>1</v>
      </c>
      <c r="BI226">
        <v>2</v>
      </c>
      <c r="BJ226">
        <v>1</v>
      </c>
      <c r="BK226">
        <v>2</v>
      </c>
      <c r="BL226">
        <v>1</v>
      </c>
      <c r="BM226">
        <v>1</v>
      </c>
      <c r="BN226">
        <v>1</v>
      </c>
      <c r="BO226">
        <v>2</v>
      </c>
      <c r="BP226">
        <v>1</v>
      </c>
      <c r="BQ226">
        <v>2</v>
      </c>
      <c r="BR226">
        <v>1</v>
      </c>
      <c r="BS226">
        <v>2</v>
      </c>
      <c r="BT226">
        <v>2</v>
      </c>
      <c r="BU226">
        <v>1</v>
      </c>
      <c r="BV226">
        <v>1</v>
      </c>
      <c r="BW226">
        <v>1</v>
      </c>
      <c r="BX226">
        <v>2</v>
      </c>
      <c r="BY226">
        <v>1</v>
      </c>
      <c r="BZ226">
        <v>2</v>
      </c>
      <c r="CA226">
        <v>1</v>
      </c>
      <c r="CB226">
        <v>1</v>
      </c>
      <c r="CC226">
        <v>1</v>
      </c>
      <c r="CD226">
        <v>1</v>
      </c>
    </row>
    <row r="227" spans="1:82" x14ac:dyDescent="0.3">
      <c r="A227" s="155">
        <v>980</v>
      </c>
      <c r="B227" t="s">
        <v>583</v>
      </c>
      <c r="D227" t="s">
        <v>1612</v>
      </c>
      <c r="E227" t="s">
        <v>2512</v>
      </c>
      <c r="F227" t="s">
        <v>1625</v>
      </c>
      <c r="G227" t="s">
        <v>2512</v>
      </c>
      <c r="H227" t="s">
        <v>2512</v>
      </c>
      <c r="I227" t="s">
        <v>1630</v>
      </c>
      <c r="J227" t="s">
        <v>1634</v>
      </c>
      <c r="K227" t="s">
        <v>1597</v>
      </c>
      <c r="L227" t="s">
        <v>1993</v>
      </c>
      <c r="M227" t="s">
        <v>2513</v>
      </c>
      <c r="N227" t="s">
        <v>1597</v>
      </c>
      <c r="O227" t="s">
        <v>1629</v>
      </c>
      <c r="P227" t="s">
        <v>2514</v>
      </c>
      <c r="Q227" t="s">
        <v>2515</v>
      </c>
      <c r="R227" t="s">
        <v>1634</v>
      </c>
      <c r="S227" t="s">
        <v>2516</v>
      </c>
      <c r="T227" t="s">
        <v>1607</v>
      </c>
      <c r="U227" t="s">
        <v>1622</v>
      </c>
      <c r="V227" t="s">
        <v>1597</v>
      </c>
      <c r="W227" t="s">
        <v>2517</v>
      </c>
      <c r="X227" t="s">
        <v>1612</v>
      </c>
      <c r="Y227" t="s">
        <v>2518</v>
      </c>
      <c r="Z227" t="s">
        <v>1612</v>
      </c>
      <c r="AA227" t="s">
        <v>1605</v>
      </c>
      <c r="AB227" t="s">
        <v>1604</v>
      </c>
      <c r="AC227" t="s">
        <v>1633</v>
      </c>
      <c r="AD227" t="s">
        <v>1633</v>
      </c>
      <c r="AE227" t="s">
        <v>1981</v>
      </c>
      <c r="AF227" t="s">
        <v>1597</v>
      </c>
      <c r="AG227" t="s">
        <v>1603</v>
      </c>
      <c r="AH227" t="s">
        <v>1612</v>
      </c>
      <c r="AI227" t="s">
        <v>1635</v>
      </c>
      <c r="AJ227" t="s">
        <v>1605</v>
      </c>
      <c r="AK227" t="s">
        <v>2519</v>
      </c>
      <c r="AL227" t="s">
        <v>2007</v>
      </c>
      <c r="AM227" t="s">
        <v>1615</v>
      </c>
      <c r="AN227" t="s">
        <v>1626</v>
      </c>
      <c r="AO227" t="s">
        <v>2520</v>
      </c>
      <c r="AP227" t="s">
        <v>1597</v>
      </c>
      <c r="AQ227" t="s">
        <v>2512</v>
      </c>
      <c r="AR227" t="s">
        <v>1632</v>
      </c>
      <c r="AS227" t="s">
        <v>2521</v>
      </c>
      <c r="AT227" t="s">
        <v>2348</v>
      </c>
      <c r="AU227" t="s">
        <v>1606</v>
      </c>
      <c r="AV227" t="s">
        <v>1633</v>
      </c>
      <c r="AW227" t="s">
        <v>1625</v>
      </c>
      <c r="AX227" t="s">
        <v>1625</v>
      </c>
      <c r="AY227" t="s">
        <v>2522</v>
      </c>
      <c r="AZ227" t="s">
        <v>2523</v>
      </c>
      <c r="BA227" t="s">
        <v>2524</v>
      </c>
      <c r="BB227" t="s">
        <v>1625</v>
      </c>
      <c r="BC227" t="s">
        <v>2525</v>
      </c>
      <c r="BD227" t="s">
        <v>1597</v>
      </c>
      <c r="BE227" t="s">
        <v>1628</v>
      </c>
      <c r="BF227" t="s">
        <v>1597</v>
      </c>
      <c r="BG227" t="s">
        <v>1601</v>
      </c>
      <c r="BH227" t="s">
        <v>1597</v>
      </c>
      <c r="BI227" t="s">
        <v>1631</v>
      </c>
      <c r="BJ227" t="s">
        <v>1629</v>
      </c>
      <c r="BK227" t="s">
        <v>2526</v>
      </c>
      <c r="BL227" t="s">
        <v>1629</v>
      </c>
      <c r="BM227" t="s">
        <v>1613</v>
      </c>
      <c r="BN227" t="s">
        <v>1614</v>
      </c>
      <c r="BO227" t="s">
        <v>2518</v>
      </c>
      <c r="BP227" t="s">
        <v>1637</v>
      </c>
      <c r="BQ227" t="s">
        <v>2527</v>
      </c>
      <c r="BR227" t="s">
        <v>1622</v>
      </c>
      <c r="BS227" t="s">
        <v>1619</v>
      </c>
      <c r="BT227" t="s">
        <v>1982</v>
      </c>
      <c r="BU227" t="s">
        <v>1635</v>
      </c>
      <c r="BV227" t="s">
        <v>1612</v>
      </c>
      <c r="BW227" t="s">
        <v>1597</v>
      </c>
      <c r="BX227" t="s">
        <v>2528</v>
      </c>
      <c r="BY227" t="s">
        <v>1634</v>
      </c>
      <c r="BZ227" t="s">
        <v>2529</v>
      </c>
      <c r="CA227" t="s">
        <v>1633</v>
      </c>
      <c r="CB227" t="s">
        <v>1633</v>
      </c>
      <c r="CC227" t="s">
        <v>1628</v>
      </c>
      <c r="CD227" t="s">
        <v>1597</v>
      </c>
    </row>
    <row r="228" spans="1:82" x14ac:dyDescent="0.3">
      <c r="A228" s="155">
        <v>984</v>
      </c>
      <c r="B228" t="s">
        <v>945</v>
      </c>
      <c r="D228">
        <v>276024</v>
      </c>
      <c r="E228">
        <v>872834</v>
      </c>
      <c r="F228">
        <v>129313</v>
      </c>
      <c r="G228">
        <v>325231</v>
      </c>
      <c r="H228">
        <v>312130</v>
      </c>
      <c r="I228">
        <v>44462</v>
      </c>
      <c r="J228">
        <v>23504</v>
      </c>
      <c r="K228">
        <v>25547</v>
      </c>
      <c r="L228">
        <v>1853603</v>
      </c>
      <c r="M228">
        <v>72856395</v>
      </c>
      <c r="N228">
        <v>1352649</v>
      </c>
      <c r="O228">
        <v>4855086</v>
      </c>
      <c r="P228">
        <v>2345</v>
      </c>
      <c r="Q228">
        <v>4799786</v>
      </c>
      <c r="R228">
        <v>56437</v>
      </c>
      <c r="S228">
        <v>159700</v>
      </c>
      <c r="T228">
        <v>1144839</v>
      </c>
      <c r="U228">
        <v>786648</v>
      </c>
      <c r="V228">
        <v>2461487</v>
      </c>
      <c r="W228">
        <v>1234443</v>
      </c>
      <c r="X228">
        <v>215048</v>
      </c>
      <c r="Y228">
        <v>387610</v>
      </c>
      <c r="Z228">
        <v>21264997</v>
      </c>
      <c r="AA228">
        <v>0</v>
      </c>
      <c r="AB228">
        <v>203838</v>
      </c>
      <c r="AC228">
        <v>26803879</v>
      </c>
      <c r="AD228">
        <v>604155</v>
      </c>
      <c r="AE228">
        <v>308418</v>
      </c>
      <c r="AF228">
        <v>37385136</v>
      </c>
      <c r="AG228">
        <v>66730</v>
      </c>
      <c r="AH228">
        <v>124009</v>
      </c>
      <c r="AI228">
        <v>3775675</v>
      </c>
      <c r="AJ228">
        <v>323907</v>
      </c>
      <c r="AK228">
        <v>38898</v>
      </c>
      <c r="AL228">
        <v>17680532</v>
      </c>
      <c r="AM228">
        <v>74300</v>
      </c>
      <c r="AN228">
        <v>6135763</v>
      </c>
      <c r="AO228">
        <v>0</v>
      </c>
      <c r="AP228">
        <v>2336142</v>
      </c>
      <c r="AQ228">
        <v>1159738</v>
      </c>
      <c r="AR228">
        <v>34492</v>
      </c>
      <c r="AS228">
        <v>470475</v>
      </c>
      <c r="AT228">
        <v>71035</v>
      </c>
      <c r="AU228">
        <v>183816957</v>
      </c>
      <c r="AV228">
        <v>39121844</v>
      </c>
      <c r="AW228">
        <v>759735</v>
      </c>
      <c r="AX228">
        <v>143190</v>
      </c>
      <c r="AY228">
        <v>203321</v>
      </c>
      <c r="AZ228">
        <v>101205</v>
      </c>
      <c r="BA228">
        <v>64035</v>
      </c>
      <c r="BB228">
        <v>2451364</v>
      </c>
      <c r="BC228">
        <v>42597</v>
      </c>
      <c r="BD228">
        <v>29272</v>
      </c>
      <c r="BE228">
        <v>21957</v>
      </c>
      <c r="BF228">
        <v>10397027</v>
      </c>
      <c r="BG228">
        <v>6019</v>
      </c>
      <c r="BH228">
        <v>5407114</v>
      </c>
      <c r="BI228">
        <v>976616</v>
      </c>
      <c r="BJ228">
        <v>112683</v>
      </c>
      <c r="BK228">
        <v>0</v>
      </c>
      <c r="BL228">
        <v>6643093</v>
      </c>
      <c r="BM228">
        <v>11548067</v>
      </c>
      <c r="BN228">
        <v>724867</v>
      </c>
      <c r="BO228">
        <v>34290070</v>
      </c>
      <c r="BP228">
        <v>64737993</v>
      </c>
      <c r="BQ228">
        <v>153543</v>
      </c>
      <c r="BR228">
        <v>2991023</v>
      </c>
      <c r="BS228">
        <v>279411</v>
      </c>
      <c r="BT228">
        <v>9099860</v>
      </c>
      <c r="BU228">
        <v>64939</v>
      </c>
      <c r="BV228">
        <v>44120</v>
      </c>
      <c r="BW228">
        <v>2848442</v>
      </c>
      <c r="BX228">
        <v>1788117</v>
      </c>
      <c r="BY228">
        <v>20644471</v>
      </c>
      <c r="BZ228">
        <v>81492</v>
      </c>
      <c r="CA228">
        <v>5835438</v>
      </c>
      <c r="CB228">
        <v>368699</v>
      </c>
      <c r="CC228">
        <v>1497021</v>
      </c>
      <c r="CD228">
        <v>24672481</v>
      </c>
    </row>
    <row r="229" spans="1:82" x14ac:dyDescent="0.3">
      <c r="A229" s="155">
        <v>985</v>
      </c>
      <c r="B229" t="s">
        <v>946</v>
      </c>
      <c r="D229">
        <v>262708</v>
      </c>
      <c r="E229">
        <v>873018</v>
      </c>
      <c r="F229">
        <v>122000</v>
      </c>
      <c r="G229">
        <v>318500</v>
      </c>
      <c r="H229">
        <v>278830</v>
      </c>
      <c r="I229">
        <v>34845</v>
      </c>
      <c r="J229">
        <v>24238</v>
      </c>
      <c r="K229">
        <v>24500</v>
      </c>
      <c r="L229">
        <v>1827888</v>
      </c>
      <c r="M229">
        <v>72172441</v>
      </c>
      <c r="N229">
        <v>1328600</v>
      </c>
      <c r="O229">
        <v>4680282</v>
      </c>
      <c r="P229">
        <v>1722</v>
      </c>
      <c r="Q229">
        <v>4738972</v>
      </c>
      <c r="R229">
        <v>54500</v>
      </c>
      <c r="S229">
        <v>141708</v>
      </c>
      <c r="T229">
        <v>1144838</v>
      </c>
      <c r="U229">
        <v>722000</v>
      </c>
      <c r="V229">
        <v>2061528</v>
      </c>
      <c r="W229">
        <v>1220500</v>
      </c>
      <c r="X229">
        <v>223000</v>
      </c>
      <c r="Y229">
        <v>390400</v>
      </c>
      <c r="Z229">
        <v>20391000</v>
      </c>
      <c r="AA229">
        <v>0</v>
      </c>
      <c r="AB229">
        <v>200020</v>
      </c>
      <c r="AC229">
        <v>26110110</v>
      </c>
      <c r="AD229">
        <v>586050</v>
      </c>
      <c r="AE229">
        <v>277620</v>
      </c>
      <c r="AF229">
        <v>36289118</v>
      </c>
      <c r="AG229">
        <v>53400</v>
      </c>
      <c r="AH229">
        <v>115500</v>
      </c>
      <c r="AI229">
        <v>3867150</v>
      </c>
      <c r="AJ229">
        <v>317100</v>
      </c>
      <c r="AK229">
        <v>23676</v>
      </c>
      <c r="AL229">
        <v>17528744</v>
      </c>
      <c r="AM229">
        <v>73975</v>
      </c>
      <c r="AN229">
        <v>5915400</v>
      </c>
      <c r="AO229">
        <v>0</v>
      </c>
      <c r="AP229">
        <v>2204400</v>
      </c>
      <c r="AQ229">
        <v>1115744</v>
      </c>
      <c r="AR229">
        <v>33500</v>
      </c>
      <c r="AS229">
        <v>412350</v>
      </c>
      <c r="AT229">
        <v>63525</v>
      </c>
      <c r="AU229">
        <v>181991000</v>
      </c>
      <c r="AV229">
        <v>38672814</v>
      </c>
      <c r="AW229">
        <v>770670</v>
      </c>
      <c r="AX229">
        <v>137800</v>
      </c>
      <c r="AY229">
        <v>188935</v>
      </c>
      <c r="AZ229">
        <v>100308</v>
      </c>
      <c r="BA229">
        <v>79200</v>
      </c>
      <c r="BB229">
        <v>2202500</v>
      </c>
      <c r="BC229">
        <v>36750</v>
      </c>
      <c r="BD229">
        <v>24500</v>
      </c>
      <c r="BE229">
        <v>21336</v>
      </c>
      <c r="BF229">
        <v>10044000</v>
      </c>
      <c r="BG229">
        <v>5500</v>
      </c>
      <c r="BH229">
        <v>5225900</v>
      </c>
      <c r="BI229">
        <v>945626</v>
      </c>
      <c r="BJ229">
        <v>107150</v>
      </c>
      <c r="BK229">
        <v>0</v>
      </c>
      <c r="BL229">
        <v>6874080</v>
      </c>
      <c r="BM229">
        <v>11428073</v>
      </c>
      <c r="BN229">
        <v>723162</v>
      </c>
      <c r="BO229">
        <v>33548000</v>
      </c>
      <c r="BP229">
        <v>63597720</v>
      </c>
      <c r="BQ229">
        <v>144000</v>
      </c>
      <c r="BR229">
        <v>2899500</v>
      </c>
      <c r="BS229">
        <v>247611</v>
      </c>
      <c r="BT229">
        <v>8753627</v>
      </c>
      <c r="BU229">
        <v>67400</v>
      </c>
      <c r="BV229">
        <v>37000</v>
      </c>
      <c r="BW229">
        <v>2768167</v>
      </c>
      <c r="BX229">
        <v>1679098</v>
      </c>
      <c r="BY229">
        <v>20566934</v>
      </c>
      <c r="BZ229">
        <v>81435</v>
      </c>
      <c r="CA229">
        <v>5793800</v>
      </c>
      <c r="CB229">
        <v>316000</v>
      </c>
      <c r="CC229">
        <v>1443300</v>
      </c>
      <c r="CD229">
        <v>24490915</v>
      </c>
    </row>
    <row r="230" spans="1:82" x14ac:dyDescent="0.3">
      <c r="A230" s="155">
        <v>986</v>
      </c>
      <c r="B230" t="s">
        <v>584</v>
      </c>
      <c r="D230">
        <v>36650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3295960</v>
      </c>
      <c r="AV230">
        <v>0</v>
      </c>
      <c r="AW230">
        <v>21168</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row>
    <row r="231" spans="1:82" x14ac:dyDescent="0.3">
      <c r="A231" s="155">
        <v>987</v>
      </c>
      <c r="B231" t="s">
        <v>947</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row>
    <row r="232" spans="1:82" x14ac:dyDescent="0.3">
      <c r="A232" s="155">
        <v>988</v>
      </c>
      <c r="B232" t="s">
        <v>948</v>
      </c>
      <c r="D232">
        <v>2</v>
      </c>
      <c r="E232">
        <v>2</v>
      </c>
      <c r="F232">
        <v>2</v>
      </c>
      <c r="G232">
        <v>2</v>
      </c>
      <c r="H232">
        <v>2</v>
      </c>
      <c r="I232">
        <v>2</v>
      </c>
      <c r="J232">
        <v>2</v>
      </c>
      <c r="K232">
        <v>2</v>
      </c>
      <c r="L232">
        <v>2</v>
      </c>
      <c r="M232">
        <v>2</v>
      </c>
      <c r="N232">
        <v>2</v>
      </c>
      <c r="O232">
        <v>2</v>
      </c>
      <c r="P232">
        <v>2</v>
      </c>
      <c r="Q232">
        <v>2</v>
      </c>
      <c r="R232">
        <v>2</v>
      </c>
      <c r="S232">
        <v>2</v>
      </c>
      <c r="T232">
        <v>2</v>
      </c>
      <c r="U232">
        <v>2</v>
      </c>
      <c r="V232">
        <v>2</v>
      </c>
      <c r="W232">
        <v>2</v>
      </c>
      <c r="X232">
        <v>2</v>
      </c>
      <c r="Y232">
        <v>2</v>
      </c>
      <c r="Z232">
        <v>2</v>
      </c>
      <c r="AA232">
        <v>2</v>
      </c>
      <c r="AB232">
        <v>2</v>
      </c>
      <c r="AC232">
        <v>2</v>
      </c>
      <c r="AD232">
        <v>0</v>
      </c>
      <c r="AE232">
        <v>2</v>
      </c>
      <c r="AF232">
        <v>2</v>
      </c>
      <c r="AG232">
        <v>2</v>
      </c>
      <c r="AH232">
        <v>2</v>
      </c>
      <c r="AI232">
        <v>0</v>
      </c>
      <c r="AJ232">
        <v>2</v>
      </c>
      <c r="AK232">
        <v>2</v>
      </c>
      <c r="AL232">
        <v>2</v>
      </c>
      <c r="AM232">
        <v>2</v>
      </c>
      <c r="AN232">
        <v>2</v>
      </c>
      <c r="AO232">
        <v>2</v>
      </c>
      <c r="AP232">
        <v>2</v>
      </c>
      <c r="AQ232">
        <v>2</v>
      </c>
      <c r="AR232">
        <v>2</v>
      </c>
      <c r="AS232">
        <v>2</v>
      </c>
      <c r="AT232">
        <v>2</v>
      </c>
      <c r="AU232">
        <v>1</v>
      </c>
      <c r="AV232">
        <v>2</v>
      </c>
      <c r="AW232">
        <v>2</v>
      </c>
      <c r="AX232">
        <v>2</v>
      </c>
      <c r="AY232">
        <v>2</v>
      </c>
      <c r="AZ232">
        <v>2</v>
      </c>
      <c r="BA232">
        <v>2</v>
      </c>
      <c r="BB232">
        <v>2</v>
      </c>
      <c r="BC232">
        <v>2</v>
      </c>
      <c r="BD232">
        <v>2</v>
      </c>
      <c r="BE232">
        <v>0</v>
      </c>
      <c r="BF232">
        <v>2</v>
      </c>
      <c r="BG232">
        <v>2</v>
      </c>
      <c r="BH232">
        <v>2</v>
      </c>
      <c r="BI232">
        <v>2</v>
      </c>
      <c r="BJ232">
        <v>2</v>
      </c>
      <c r="BK232">
        <v>2</v>
      </c>
      <c r="BL232">
        <v>2</v>
      </c>
      <c r="BM232">
        <v>2</v>
      </c>
      <c r="BN232">
        <v>2</v>
      </c>
      <c r="BO232">
        <v>2</v>
      </c>
      <c r="BP232">
        <v>2</v>
      </c>
      <c r="BQ232">
        <v>2</v>
      </c>
      <c r="BR232">
        <v>2</v>
      </c>
      <c r="BS232">
        <v>2</v>
      </c>
      <c r="BT232">
        <v>2</v>
      </c>
      <c r="BU232">
        <v>2</v>
      </c>
      <c r="BV232">
        <v>2</v>
      </c>
      <c r="BW232">
        <v>2</v>
      </c>
      <c r="BX232">
        <v>2</v>
      </c>
      <c r="BY232">
        <v>2</v>
      </c>
      <c r="BZ232">
        <v>2</v>
      </c>
      <c r="CA232">
        <v>2</v>
      </c>
      <c r="CB232">
        <v>2</v>
      </c>
      <c r="CC232">
        <v>2</v>
      </c>
      <c r="CD232">
        <v>2</v>
      </c>
    </row>
    <row r="233" spans="1:82" x14ac:dyDescent="0.3">
      <c r="A233" s="155">
        <v>989</v>
      </c>
      <c r="B233" t="s">
        <v>949</v>
      </c>
      <c r="D233">
        <v>3</v>
      </c>
      <c r="E233">
        <v>3</v>
      </c>
      <c r="F233">
        <v>0</v>
      </c>
      <c r="G233">
        <v>3</v>
      </c>
      <c r="H233">
        <v>3</v>
      </c>
      <c r="I233">
        <v>3</v>
      </c>
      <c r="J233">
        <v>0</v>
      </c>
      <c r="K233">
        <v>0</v>
      </c>
      <c r="L233">
        <v>3</v>
      </c>
      <c r="M233">
        <v>3</v>
      </c>
      <c r="N233">
        <v>3</v>
      </c>
      <c r="O233">
        <v>0</v>
      </c>
      <c r="P233">
        <v>3</v>
      </c>
      <c r="Q233">
        <v>3</v>
      </c>
      <c r="R233">
        <v>3</v>
      </c>
      <c r="S233">
        <v>3</v>
      </c>
      <c r="T233">
        <v>3</v>
      </c>
      <c r="U233">
        <v>3</v>
      </c>
      <c r="V233">
        <v>3</v>
      </c>
      <c r="W233">
        <v>0</v>
      </c>
      <c r="X233">
        <v>3</v>
      </c>
      <c r="Y233">
        <v>3</v>
      </c>
      <c r="Z233">
        <v>3</v>
      </c>
      <c r="AA233">
        <v>0</v>
      </c>
      <c r="AB233">
        <v>3</v>
      </c>
      <c r="AC233">
        <v>3</v>
      </c>
      <c r="AD233">
        <v>0</v>
      </c>
      <c r="AE233">
        <v>3</v>
      </c>
      <c r="AF233">
        <v>3</v>
      </c>
      <c r="AG233">
        <v>3</v>
      </c>
      <c r="AH233">
        <v>0</v>
      </c>
      <c r="AI233">
        <v>0</v>
      </c>
      <c r="AJ233">
        <v>3</v>
      </c>
      <c r="AK233">
        <v>3</v>
      </c>
      <c r="AL233">
        <v>3</v>
      </c>
      <c r="AM233">
        <v>3</v>
      </c>
      <c r="AN233">
        <v>3</v>
      </c>
      <c r="AO233">
        <v>3</v>
      </c>
      <c r="AP233">
        <v>3</v>
      </c>
      <c r="AQ233">
        <v>3</v>
      </c>
      <c r="AR233">
        <v>3</v>
      </c>
      <c r="AS233">
        <v>3</v>
      </c>
      <c r="AT233">
        <v>3</v>
      </c>
      <c r="AU233">
        <v>1</v>
      </c>
      <c r="AV233">
        <v>3</v>
      </c>
      <c r="AW233">
        <v>0</v>
      </c>
      <c r="AX233">
        <v>3</v>
      </c>
      <c r="AY233">
        <v>3</v>
      </c>
      <c r="AZ233">
        <v>0</v>
      </c>
      <c r="BA233">
        <v>0</v>
      </c>
      <c r="BB233">
        <v>0</v>
      </c>
      <c r="BC233">
        <v>3</v>
      </c>
      <c r="BD233">
        <v>0</v>
      </c>
      <c r="BE233">
        <v>0</v>
      </c>
      <c r="BF233">
        <v>0</v>
      </c>
      <c r="BG233">
        <v>0</v>
      </c>
      <c r="BH233">
        <v>3</v>
      </c>
      <c r="BI233">
        <v>0</v>
      </c>
      <c r="BJ233">
        <v>3</v>
      </c>
      <c r="BK233">
        <v>3</v>
      </c>
      <c r="BL233">
        <v>3</v>
      </c>
      <c r="BM233">
        <v>3</v>
      </c>
      <c r="BN233">
        <v>0</v>
      </c>
      <c r="BO233">
        <v>0</v>
      </c>
      <c r="BP233">
        <v>3</v>
      </c>
      <c r="BQ233">
        <v>3</v>
      </c>
      <c r="BR233">
        <v>3</v>
      </c>
      <c r="BS233">
        <v>3</v>
      </c>
      <c r="BT233">
        <v>0</v>
      </c>
      <c r="BU233">
        <v>3</v>
      </c>
      <c r="BV233">
        <v>0</v>
      </c>
      <c r="BW233">
        <v>3</v>
      </c>
      <c r="BX233">
        <v>0</v>
      </c>
      <c r="BY233">
        <v>3</v>
      </c>
      <c r="BZ233">
        <v>3</v>
      </c>
      <c r="CA233">
        <v>3</v>
      </c>
      <c r="CB233">
        <v>3</v>
      </c>
      <c r="CC233">
        <v>0</v>
      </c>
      <c r="CD233">
        <v>3</v>
      </c>
    </row>
    <row r="234" spans="1:82" x14ac:dyDescent="0.3">
      <c r="A234" s="155">
        <v>990</v>
      </c>
      <c r="B234" t="s">
        <v>575</v>
      </c>
      <c r="D234">
        <v>0</v>
      </c>
      <c r="E234">
        <v>0</v>
      </c>
      <c r="F234">
        <v>0</v>
      </c>
      <c r="G234">
        <v>0</v>
      </c>
      <c r="H234">
        <v>0</v>
      </c>
      <c r="I234">
        <v>0</v>
      </c>
      <c r="J234">
        <v>0</v>
      </c>
      <c r="K234">
        <v>0</v>
      </c>
      <c r="L234">
        <v>45491</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583229</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989849</v>
      </c>
      <c r="BQ234">
        <v>0</v>
      </c>
      <c r="BR234">
        <v>0</v>
      </c>
      <c r="BS234">
        <v>0</v>
      </c>
      <c r="BT234">
        <v>0</v>
      </c>
      <c r="BU234">
        <v>0</v>
      </c>
      <c r="BV234">
        <v>0</v>
      </c>
      <c r="BW234">
        <v>0</v>
      </c>
      <c r="BX234">
        <v>0</v>
      </c>
      <c r="BY234">
        <v>0</v>
      </c>
      <c r="BZ234">
        <v>0</v>
      </c>
      <c r="CA234">
        <v>0</v>
      </c>
      <c r="CB234">
        <v>0</v>
      </c>
      <c r="CC234">
        <v>0</v>
      </c>
      <c r="CD234">
        <v>0</v>
      </c>
    </row>
    <row r="235" spans="1:82" x14ac:dyDescent="0.3">
      <c r="A235" s="155">
        <v>991</v>
      </c>
      <c r="B235" t="s">
        <v>950</v>
      </c>
      <c r="D235">
        <v>23</v>
      </c>
      <c r="E235">
        <v>22</v>
      </c>
      <c r="F235">
        <v>23</v>
      </c>
      <c r="G235">
        <v>23</v>
      </c>
      <c r="H235">
        <v>23</v>
      </c>
      <c r="I235">
        <v>23</v>
      </c>
      <c r="J235">
        <v>0</v>
      </c>
      <c r="K235">
        <v>23</v>
      </c>
      <c r="L235">
        <v>23</v>
      </c>
      <c r="M235">
        <v>22</v>
      </c>
      <c r="N235">
        <v>20</v>
      </c>
      <c r="O235">
        <v>20</v>
      </c>
      <c r="P235">
        <v>23</v>
      </c>
      <c r="Q235">
        <v>20</v>
      </c>
      <c r="R235">
        <v>23</v>
      </c>
      <c r="S235">
        <v>23</v>
      </c>
      <c r="T235">
        <v>23</v>
      </c>
      <c r="U235">
        <v>20</v>
      </c>
      <c r="V235">
        <v>23</v>
      </c>
      <c r="W235">
        <v>22</v>
      </c>
      <c r="X235">
        <v>23</v>
      </c>
      <c r="Y235">
        <v>22</v>
      </c>
      <c r="Z235">
        <v>23</v>
      </c>
      <c r="AA235">
        <v>23</v>
      </c>
      <c r="AB235">
        <v>23</v>
      </c>
      <c r="AC235">
        <v>23</v>
      </c>
      <c r="AD235">
        <v>20</v>
      </c>
      <c r="AE235">
        <v>22</v>
      </c>
      <c r="AF235">
        <v>20</v>
      </c>
      <c r="AG235">
        <v>23</v>
      </c>
      <c r="AH235">
        <v>23</v>
      </c>
      <c r="AI235">
        <v>20</v>
      </c>
      <c r="AJ235">
        <v>20</v>
      </c>
      <c r="AK235">
        <v>23</v>
      </c>
      <c r="AL235">
        <v>23</v>
      </c>
      <c r="AM235">
        <v>23</v>
      </c>
      <c r="AN235">
        <v>20</v>
      </c>
      <c r="AO235">
        <v>22</v>
      </c>
      <c r="AP235">
        <v>23</v>
      </c>
      <c r="AQ235">
        <v>23</v>
      </c>
      <c r="AR235">
        <v>23</v>
      </c>
      <c r="AS235">
        <v>20</v>
      </c>
      <c r="AT235">
        <v>22</v>
      </c>
      <c r="AU235">
        <v>23</v>
      </c>
      <c r="AV235">
        <v>23</v>
      </c>
      <c r="AW235">
        <v>23</v>
      </c>
      <c r="AX235">
        <v>23</v>
      </c>
      <c r="AY235">
        <v>23</v>
      </c>
      <c r="AZ235">
        <v>22</v>
      </c>
      <c r="BA235">
        <v>22</v>
      </c>
      <c r="BB235">
        <v>22</v>
      </c>
      <c r="BC235">
        <v>23</v>
      </c>
      <c r="BD235">
        <v>23</v>
      </c>
      <c r="BE235">
        <v>21</v>
      </c>
      <c r="BF235">
        <v>0</v>
      </c>
      <c r="BG235">
        <v>22</v>
      </c>
      <c r="BH235">
        <v>20</v>
      </c>
      <c r="BI235">
        <v>20</v>
      </c>
      <c r="BJ235">
        <v>23</v>
      </c>
      <c r="BK235">
        <v>0</v>
      </c>
      <c r="BL235">
        <v>20</v>
      </c>
      <c r="BM235">
        <v>20</v>
      </c>
      <c r="BN235">
        <v>20</v>
      </c>
      <c r="BO235">
        <v>23</v>
      </c>
      <c r="BP235">
        <v>20</v>
      </c>
      <c r="BQ235">
        <v>23</v>
      </c>
      <c r="BR235">
        <v>20</v>
      </c>
      <c r="BS235">
        <v>20</v>
      </c>
      <c r="BT235">
        <v>23</v>
      </c>
      <c r="BU235">
        <v>23</v>
      </c>
      <c r="BV235">
        <v>23</v>
      </c>
      <c r="BW235">
        <v>23</v>
      </c>
      <c r="BX235">
        <v>22</v>
      </c>
      <c r="BY235">
        <v>23</v>
      </c>
      <c r="BZ235">
        <v>23</v>
      </c>
      <c r="CA235">
        <v>23</v>
      </c>
      <c r="CB235">
        <v>22</v>
      </c>
      <c r="CC235">
        <v>23</v>
      </c>
      <c r="CD235">
        <v>23</v>
      </c>
    </row>
    <row r="236" spans="1:82" x14ac:dyDescent="0.3">
      <c r="A236" s="155">
        <v>995</v>
      </c>
      <c r="B236" s="551" t="s">
        <v>275</v>
      </c>
      <c r="D236">
        <v>0</v>
      </c>
      <c r="E236">
        <v>0</v>
      </c>
      <c r="F236">
        <v>0</v>
      </c>
      <c r="G236">
        <v>0</v>
      </c>
      <c r="H236">
        <v>0</v>
      </c>
      <c r="I236">
        <v>0</v>
      </c>
      <c r="J236">
        <v>0</v>
      </c>
      <c r="K236">
        <v>0</v>
      </c>
      <c r="L236">
        <v>0.08</v>
      </c>
      <c r="M236">
        <v>0</v>
      </c>
      <c r="N236">
        <v>0</v>
      </c>
      <c r="O236">
        <v>0</v>
      </c>
      <c r="P236">
        <v>0</v>
      </c>
      <c r="Q236">
        <v>0.09</v>
      </c>
      <c r="R236">
        <v>0</v>
      </c>
      <c r="S236">
        <v>0.09</v>
      </c>
      <c r="T236">
        <v>0</v>
      </c>
      <c r="U236">
        <v>0</v>
      </c>
      <c r="V236">
        <v>0</v>
      </c>
      <c r="W236">
        <v>0</v>
      </c>
      <c r="X236">
        <v>0</v>
      </c>
      <c r="Y236">
        <v>0.08</v>
      </c>
      <c r="Z236">
        <v>0</v>
      </c>
      <c r="AA236">
        <v>0</v>
      </c>
      <c r="AB236">
        <v>0</v>
      </c>
      <c r="AC236">
        <v>0</v>
      </c>
      <c r="AD236">
        <v>0</v>
      </c>
      <c r="AE236">
        <v>0</v>
      </c>
      <c r="AF236">
        <v>7.0000000000000007E-2</v>
      </c>
      <c r="AG236">
        <v>0</v>
      </c>
      <c r="AH236">
        <v>0</v>
      </c>
      <c r="AI236">
        <v>0</v>
      </c>
      <c r="AJ236">
        <v>0</v>
      </c>
      <c r="AK236">
        <v>0</v>
      </c>
      <c r="AL236">
        <v>0</v>
      </c>
      <c r="AM236">
        <v>0</v>
      </c>
      <c r="AN236">
        <v>0</v>
      </c>
      <c r="AO236">
        <v>0</v>
      </c>
      <c r="AP236">
        <v>7.0000000000000007E-2</v>
      </c>
      <c r="AQ236">
        <v>0</v>
      </c>
      <c r="AR236">
        <v>0</v>
      </c>
      <c r="AS236">
        <v>0</v>
      </c>
      <c r="AT236">
        <v>0</v>
      </c>
      <c r="AU236">
        <v>0</v>
      </c>
      <c r="AV236">
        <v>0.08</v>
      </c>
      <c r="AW236">
        <v>0</v>
      </c>
      <c r="AX236">
        <v>0</v>
      </c>
      <c r="AY236">
        <v>0</v>
      </c>
      <c r="AZ236">
        <v>0</v>
      </c>
      <c r="BA236">
        <v>0.08</v>
      </c>
      <c r="BB236">
        <v>0</v>
      </c>
      <c r="BC236">
        <v>0</v>
      </c>
      <c r="BD236">
        <v>0</v>
      </c>
      <c r="BE236">
        <v>0</v>
      </c>
      <c r="BF236">
        <v>0</v>
      </c>
      <c r="BG236">
        <v>0</v>
      </c>
      <c r="BH236">
        <v>0</v>
      </c>
      <c r="BI236">
        <v>0</v>
      </c>
      <c r="BJ236">
        <v>0</v>
      </c>
      <c r="BK236">
        <v>0</v>
      </c>
      <c r="BL236">
        <v>0</v>
      </c>
      <c r="BM236">
        <v>0</v>
      </c>
      <c r="BN236">
        <v>0.08</v>
      </c>
      <c r="BO236">
        <v>0</v>
      </c>
      <c r="BP236">
        <v>7.0000000000000007E-2</v>
      </c>
      <c r="BQ236">
        <v>0</v>
      </c>
      <c r="BR236">
        <v>0.09</v>
      </c>
      <c r="BS236">
        <v>0</v>
      </c>
      <c r="BT236">
        <v>0</v>
      </c>
      <c r="BU236">
        <v>0.08</v>
      </c>
      <c r="BV236">
        <v>0</v>
      </c>
      <c r="BW236">
        <v>0</v>
      </c>
      <c r="BX236">
        <v>0</v>
      </c>
      <c r="BY236">
        <v>0</v>
      </c>
      <c r="BZ236">
        <v>0.08</v>
      </c>
      <c r="CA236">
        <v>0</v>
      </c>
      <c r="CB236">
        <v>0</v>
      </c>
      <c r="CC236">
        <v>0</v>
      </c>
      <c r="CD236">
        <v>7.0000000000000007E-2</v>
      </c>
    </row>
    <row r="237" spans="1:82" x14ac:dyDescent="0.3">
      <c r="A237" s="155">
        <v>996</v>
      </c>
      <c r="B237" t="s">
        <v>276</v>
      </c>
      <c r="D237">
        <v>0.01</v>
      </c>
      <c r="E237">
        <v>0.01</v>
      </c>
      <c r="F237">
        <v>0</v>
      </c>
      <c r="G237">
        <v>0.01</v>
      </c>
      <c r="H237">
        <v>0.01</v>
      </c>
      <c r="I237">
        <v>0.01</v>
      </c>
      <c r="J237">
        <v>0</v>
      </c>
      <c r="K237">
        <v>0.01</v>
      </c>
      <c r="L237">
        <v>0.01</v>
      </c>
      <c r="M237">
        <v>0</v>
      </c>
      <c r="N237">
        <v>0</v>
      </c>
      <c r="O237">
        <v>0</v>
      </c>
      <c r="P237">
        <v>0.01</v>
      </c>
      <c r="Q237">
        <v>0.01</v>
      </c>
      <c r="R237">
        <v>0</v>
      </c>
      <c r="S237">
        <v>0.01</v>
      </c>
      <c r="T237">
        <v>0.01</v>
      </c>
      <c r="U237">
        <v>0.01</v>
      </c>
      <c r="V237">
        <v>0.01</v>
      </c>
      <c r="W237">
        <v>0</v>
      </c>
      <c r="X237">
        <v>0.01</v>
      </c>
      <c r="Y237">
        <v>0.01</v>
      </c>
      <c r="Z237">
        <v>0.01</v>
      </c>
      <c r="AA237">
        <v>0.01</v>
      </c>
      <c r="AB237">
        <v>0.01</v>
      </c>
      <c r="AC237">
        <v>0</v>
      </c>
      <c r="AD237">
        <v>0</v>
      </c>
      <c r="AE237">
        <v>0</v>
      </c>
      <c r="AF237">
        <v>0.01</v>
      </c>
      <c r="AG237">
        <v>0</v>
      </c>
      <c r="AH237">
        <v>0.01</v>
      </c>
      <c r="AI237">
        <v>0.01</v>
      </c>
      <c r="AJ237">
        <v>0.01</v>
      </c>
      <c r="AK237">
        <v>0.01</v>
      </c>
      <c r="AL237">
        <v>0.01</v>
      </c>
      <c r="AM237">
        <v>0.01</v>
      </c>
      <c r="AN237">
        <v>0.01</v>
      </c>
      <c r="AO237">
        <v>0</v>
      </c>
      <c r="AP237">
        <v>0.01</v>
      </c>
      <c r="AQ237">
        <v>0</v>
      </c>
      <c r="AR237">
        <v>0</v>
      </c>
      <c r="AS237">
        <v>0.01</v>
      </c>
      <c r="AT237">
        <v>0.01</v>
      </c>
      <c r="AU237">
        <v>0.01</v>
      </c>
      <c r="AV237">
        <v>0.01</v>
      </c>
      <c r="AW237">
        <v>0.01</v>
      </c>
      <c r="AX237">
        <v>0.01</v>
      </c>
      <c r="AY237">
        <v>0.01</v>
      </c>
      <c r="AZ237">
        <v>0.01</v>
      </c>
      <c r="BA237">
        <v>0.01</v>
      </c>
      <c r="BB237">
        <v>0.01</v>
      </c>
      <c r="BC237">
        <v>0.01</v>
      </c>
      <c r="BD237">
        <v>0</v>
      </c>
      <c r="BE237">
        <v>0.01</v>
      </c>
      <c r="BF237">
        <v>0.01</v>
      </c>
      <c r="BG237">
        <v>0</v>
      </c>
      <c r="BH237">
        <v>0.01</v>
      </c>
      <c r="BI237">
        <v>0.01</v>
      </c>
      <c r="BJ237">
        <v>0</v>
      </c>
      <c r="BK237">
        <v>0</v>
      </c>
      <c r="BL237">
        <v>0.01</v>
      </c>
      <c r="BM237">
        <v>0.01</v>
      </c>
      <c r="BN237">
        <v>0.01</v>
      </c>
      <c r="BO237">
        <v>0.01</v>
      </c>
      <c r="BP237">
        <v>0.01</v>
      </c>
      <c r="BQ237">
        <v>0.01</v>
      </c>
      <c r="BR237">
        <v>0.01</v>
      </c>
      <c r="BS237">
        <v>0</v>
      </c>
      <c r="BT237">
        <v>0.01</v>
      </c>
      <c r="BU237">
        <v>0.01</v>
      </c>
      <c r="BV237">
        <v>0.01</v>
      </c>
      <c r="BW237">
        <v>0.01</v>
      </c>
      <c r="BX237">
        <v>0</v>
      </c>
      <c r="BY237">
        <v>0.01</v>
      </c>
      <c r="BZ237">
        <v>0.01</v>
      </c>
      <c r="CA237">
        <v>0</v>
      </c>
      <c r="CB237">
        <v>0.01</v>
      </c>
      <c r="CC237">
        <v>0</v>
      </c>
      <c r="CD237">
        <v>0</v>
      </c>
    </row>
    <row r="238" spans="1:82" x14ac:dyDescent="0.3">
      <c r="A238" s="155">
        <v>998</v>
      </c>
      <c r="B238" t="s">
        <v>277</v>
      </c>
      <c r="D238">
        <v>50</v>
      </c>
      <c r="E238">
        <v>50</v>
      </c>
      <c r="F238">
        <v>50</v>
      </c>
      <c r="G238">
        <v>50</v>
      </c>
      <c r="H238">
        <v>50</v>
      </c>
      <c r="I238">
        <v>50</v>
      </c>
      <c r="J238">
        <v>50</v>
      </c>
      <c r="K238">
        <v>50</v>
      </c>
      <c r="L238">
        <v>50</v>
      </c>
      <c r="M238">
        <v>50</v>
      </c>
      <c r="N238">
        <v>50</v>
      </c>
      <c r="O238">
        <v>50</v>
      </c>
      <c r="P238">
        <v>50</v>
      </c>
      <c r="Q238">
        <v>50</v>
      </c>
      <c r="R238">
        <v>50</v>
      </c>
      <c r="S238">
        <v>50</v>
      </c>
      <c r="T238">
        <v>50</v>
      </c>
      <c r="U238">
        <v>50</v>
      </c>
      <c r="V238">
        <v>50</v>
      </c>
      <c r="W238">
        <v>50</v>
      </c>
      <c r="X238">
        <v>50</v>
      </c>
      <c r="Y238">
        <v>50</v>
      </c>
      <c r="Z238">
        <v>50</v>
      </c>
      <c r="AA238">
        <v>50</v>
      </c>
      <c r="AB238">
        <v>50</v>
      </c>
      <c r="AC238">
        <v>50</v>
      </c>
      <c r="AD238">
        <v>50</v>
      </c>
      <c r="AE238">
        <v>50</v>
      </c>
      <c r="AF238">
        <v>50</v>
      </c>
      <c r="AG238">
        <v>50</v>
      </c>
      <c r="AH238">
        <v>50</v>
      </c>
      <c r="AI238">
        <v>50</v>
      </c>
      <c r="AJ238">
        <v>50</v>
      </c>
      <c r="AK238">
        <v>50</v>
      </c>
      <c r="AL238">
        <v>50</v>
      </c>
      <c r="AM238">
        <v>50</v>
      </c>
      <c r="AN238">
        <v>50</v>
      </c>
      <c r="AO238">
        <v>50</v>
      </c>
      <c r="AP238">
        <v>50</v>
      </c>
      <c r="AQ238">
        <v>50</v>
      </c>
      <c r="AR238">
        <v>50</v>
      </c>
      <c r="AS238">
        <v>50</v>
      </c>
      <c r="AT238">
        <v>50</v>
      </c>
      <c r="AU238">
        <v>50</v>
      </c>
      <c r="AV238">
        <v>50</v>
      </c>
      <c r="AW238">
        <v>50</v>
      </c>
      <c r="AX238">
        <v>50</v>
      </c>
      <c r="AY238">
        <v>50</v>
      </c>
      <c r="AZ238">
        <v>50</v>
      </c>
      <c r="BA238">
        <v>50</v>
      </c>
      <c r="BB238">
        <v>50</v>
      </c>
      <c r="BC238">
        <v>50</v>
      </c>
      <c r="BD238">
        <v>50</v>
      </c>
      <c r="BE238">
        <v>50</v>
      </c>
      <c r="BF238">
        <v>50</v>
      </c>
      <c r="BG238">
        <v>50</v>
      </c>
      <c r="BH238">
        <v>50</v>
      </c>
      <c r="BI238">
        <v>50</v>
      </c>
      <c r="BJ238">
        <v>50</v>
      </c>
      <c r="BK238">
        <v>50</v>
      </c>
      <c r="BL238">
        <v>50</v>
      </c>
      <c r="BM238">
        <v>50</v>
      </c>
      <c r="BN238">
        <v>50</v>
      </c>
      <c r="BO238">
        <v>50</v>
      </c>
      <c r="BP238">
        <v>50</v>
      </c>
      <c r="BQ238">
        <v>50</v>
      </c>
      <c r="BR238">
        <v>50</v>
      </c>
      <c r="BS238">
        <v>50</v>
      </c>
      <c r="BT238">
        <v>50</v>
      </c>
      <c r="BU238">
        <v>50</v>
      </c>
      <c r="BV238">
        <v>50</v>
      </c>
      <c r="BW238">
        <v>50</v>
      </c>
      <c r="BX238">
        <v>50</v>
      </c>
      <c r="BY238">
        <v>50</v>
      </c>
      <c r="BZ238">
        <v>50</v>
      </c>
      <c r="CA238">
        <v>50</v>
      </c>
      <c r="CB238">
        <v>50</v>
      </c>
      <c r="CC238">
        <v>50</v>
      </c>
      <c r="CD238">
        <v>50</v>
      </c>
    </row>
    <row r="239" spans="1:82" x14ac:dyDescent="0.3">
      <c r="A239" s="155">
        <v>999</v>
      </c>
      <c r="B239" t="s">
        <v>278</v>
      </c>
      <c r="D239">
        <v>50129</v>
      </c>
      <c r="E239">
        <v>50130</v>
      </c>
      <c r="F239">
        <v>50560</v>
      </c>
      <c r="G239">
        <v>50131</v>
      </c>
      <c r="H239">
        <v>50132</v>
      </c>
      <c r="I239">
        <v>50133</v>
      </c>
      <c r="J239">
        <v>50134</v>
      </c>
      <c r="K239">
        <v>50473</v>
      </c>
      <c r="L239">
        <v>50135</v>
      </c>
      <c r="M239">
        <v>50136</v>
      </c>
      <c r="N239">
        <v>50514</v>
      </c>
      <c r="O239">
        <v>50515</v>
      </c>
      <c r="P239">
        <v>50570</v>
      </c>
      <c r="Q239">
        <v>50137</v>
      </c>
      <c r="R239">
        <v>50549</v>
      </c>
      <c r="S239">
        <v>50138</v>
      </c>
      <c r="T239">
        <v>50139</v>
      </c>
      <c r="U239">
        <v>50474</v>
      </c>
      <c r="V239">
        <v>50140</v>
      </c>
      <c r="W239">
        <v>50141</v>
      </c>
      <c r="X239">
        <v>50142</v>
      </c>
      <c r="Y239">
        <v>50143</v>
      </c>
      <c r="Z239">
        <v>50144</v>
      </c>
      <c r="AA239">
        <v>50492</v>
      </c>
      <c r="AB239">
        <v>50145</v>
      </c>
      <c r="AC239">
        <v>50146</v>
      </c>
      <c r="AD239">
        <v>50147</v>
      </c>
      <c r="AE239">
        <v>50148</v>
      </c>
      <c r="AF239">
        <v>50149</v>
      </c>
      <c r="AG239">
        <v>50150</v>
      </c>
      <c r="AH239">
        <v>50151</v>
      </c>
      <c r="AI239">
        <v>50152</v>
      </c>
      <c r="AJ239">
        <v>50153</v>
      </c>
      <c r="AK239">
        <v>50475</v>
      </c>
      <c r="AL239">
        <v>50154</v>
      </c>
      <c r="AM239">
        <v>50155</v>
      </c>
      <c r="AN239">
        <v>50156</v>
      </c>
      <c r="AO239">
        <v>50516</v>
      </c>
      <c r="AP239">
        <v>50157</v>
      </c>
      <c r="AQ239">
        <v>50158</v>
      </c>
      <c r="AR239">
        <v>50545</v>
      </c>
      <c r="AS239">
        <v>50517</v>
      </c>
      <c r="AT239">
        <v>50448</v>
      </c>
      <c r="AU239">
        <v>50159</v>
      </c>
      <c r="AV239">
        <v>50160</v>
      </c>
      <c r="AW239">
        <v>50161</v>
      </c>
      <c r="AX239">
        <v>50162</v>
      </c>
      <c r="AY239">
        <v>50163</v>
      </c>
      <c r="AZ239">
        <v>50165</v>
      </c>
      <c r="BA239">
        <v>50166</v>
      </c>
      <c r="BB239">
        <v>50167</v>
      </c>
      <c r="BC239">
        <v>50168</v>
      </c>
      <c r="BD239">
        <v>50169</v>
      </c>
      <c r="BE239">
        <v>50170</v>
      </c>
      <c r="BF239">
        <v>50451</v>
      </c>
      <c r="BG239">
        <v>50171</v>
      </c>
      <c r="BH239">
        <v>50172</v>
      </c>
      <c r="BI239">
        <v>50440</v>
      </c>
      <c r="BJ239">
        <v>50173</v>
      </c>
      <c r="BK239">
        <v>50547</v>
      </c>
      <c r="BL239">
        <v>50175</v>
      </c>
      <c r="BM239">
        <v>50176</v>
      </c>
      <c r="BN239">
        <v>50177</v>
      </c>
      <c r="BO239">
        <v>50178</v>
      </c>
      <c r="BP239">
        <v>50180</v>
      </c>
      <c r="BQ239">
        <v>50447</v>
      </c>
      <c r="BR239">
        <v>50179</v>
      </c>
      <c r="BS239">
        <v>50462</v>
      </c>
      <c r="BT239">
        <v>50181</v>
      </c>
      <c r="BU239">
        <v>50182</v>
      </c>
      <c r="BV239">
        <v>50183</v>
      </c>
      <c r="BW239">
        <v>50446</v>
      </c>
      <c r="BX239">
        <v>50184</v>
      </c>
      <c r="BY239">
        <v>50185</v>
      </c>
      <c r="BZ239">
        <v>50186</v>
      </c>
      <c r="CA239">
        <v>50187</v>
      </c>
      <c r="CB239">
        <v>50188</v>
      </c>
      <c r="CC239">
        <v>50189</v>
      </c>
      <c r="CD239">
        <v>50190</v>
      </c>
    </row>
    <row r="240" spans="1:82" x14ac:dyDescent="0.3">
      <c r="A240" s="155">
        <v>1050</v>
      </c>
      <c r="B240" t="s">
        <v>1435</v>
      </c>
      <c r="D240">
        <v>37951</v>
      </c>
      <c r="E240">
        <v>85456</v>
      </c>
      <c r="F240">
        <v>0</v>
      </c>
      <c r="G240">
        <v>43420</v>
      </c>
      <c r="H240">
        <v>61638</v>
      </c>
      <c r="I240">
        <v>0</v>
      </c>
      <c r="J240">
        <v>3820</v>
      </c>
      <c r="K240">
        <v>7800</v>
      </c>
      <c r="L240">
        <v>27254</v>
      </c>
      <c r="M240">
        <v>5612218</v>
      </c>
      <c r="N240">
        <v>0</v>
      </c>
      <c r="O240">
        <v>377854</v>
      </c>
      <c r="P240">
        <v>2486</v>
      </c>
      <c r="Q240">
        <v>210451</v>
      </c>
      <c r="R240">
        <v>8738</v>
      </c>
      <c r="S240">
        <v>26218</v>
      </c>
      <c r="T240">
        <v>0</v>
      </c>
      <c r="U240">
        <v>51552</v>
      </c>
      <c r="V240">
        <v>144397</v>
      </c>
      <c r="W240">
        <v>0</v>
      </c>
      <c r="X240">
        <v>0</v>
      </c>
      <c r="Y240">
        <v>34298</v>
      </c>
      <c r="Z240">
        <v>1126865</v>
      </c>
      <c r="AA240">
        <v>0</v>
      </c>
      <c r="AB240">
        <v>40298</v>
      </c>
      <c r="AC240">
        <v>898306</v>
      </c>
      <c r="AD240">
        <v>12080</v>
      </c>
      <c r="AE240">
        <v>40354</v>
      </c>
      <c r="AF240">
        <v>2163021</v>
      </c>
      <c r="AG240">
        <v>9471</v>
      </c>
      <c r="AH240">
        <v>0</v>
      </c>
      <c r="AI240">
        <v>457979</v>
      </c>
      <c r="AJ240">
        <v>29340</v>
      </c>
      <c r="AK240">
        <v>0</v>
      </c>
      <c r="AL240">
        <v>1024644</v>
      </c>
      <c r="AM240">
        <v>16213</v>
      </c>
      <c r="AN240">
        <v>0</v>
      </c>
      <c r="AO240">
        <v>0</v>
      </c>
      <c r="AP240">
        <v>0</v>
      </c>
      <c r="AQ240">
        <v>90391</v>
      </c>
      <c r="AR240">
        <v>0</v>
      </c>
      <c r="AS240">
        <v>250367</v>
      </c>
      <c r="AT240">
        <v>0</v>
      </c>
      <c r="AU240">
        <v>0</v>
      </c>
      <c r="AV240">
        <v>0</v>
      </c>
      <c r="AW240">
        <v>77245</v>
      </c>
      <c r="AX240">
        <v>4989</v>
      </c>
      <c r="AY240">
        <v>2639</v>
      </c>
      <c r="AZ240">
        <v>0</v>
      </c>
      <c r="BA240">
        <v>42881</v>
      </c>
      <c r="BB240">
        <v>216961</v>
      </c>
      <c r="BC240">
        <v>16465</v>
      </c>
      <c r="BD240">
        <v>4935</v>
      </c>
      <c r="BE240">
        <v>0</v>
      </c>
      <c r="BF240">
        <v>550492</v>
      </c>
      <c r="BG240">
        <v>0</v>
      </c>
      <c r="BH240">
        <v>333290</v>
      </c>
      <c r="BI240">
        <v>13180</v>
      </c>
      <c r="BJ240">
        <v>0</v>
      </c>
      <c r="BK240">
        <v>0</v>
      </c>
      <c r="BL240">
        <v>323995</v>
      </c>
      <c r="BM240">
        <v>467860</v>
      </c>
      <c r="BN240">
        <v>0</v>
      </c>
      <c r="BO240">
        <v>0</v>
      </c>
      <c r="BP240">
        <v>3269349</v>
      </c>
      <c r="BQ240">
        <v>0</v>
      </c>
      <c r="BR240">
        <v>50000</v>
      </c>
      <c r="BS240">
        <v>19757</v>
      </c>
      <c r="BT240">
        <v>627540</v>
      </c>
      <c r="BU240">
        <v>27994</v>
      </c>
      <c r="BV240">
        <v>26181</v>
      </c>
      <c r="BW240">
        <v>43799</v>
      </c>
      <c r="BX240">
        <v>83873</v>
      </c>
      <c r="BY240">
        <v>0</v>
      </c>
      <c r="BZ240">
        <v>0</v>
      </c>
      <c r="CA240">
        <v>302413</v>
      </c>
      <c r="CB240">
        <v>36144</v>
      </c>
      <c r="CC240">
        <v>127597</v>
      </c>
      <c r="CD240">
        <v>2275053</v>
      </c>
    </row>
    <row r="241" spans="1:82" x14ac:dyDescent="0.3">
      <c r="A241" s="155">
        <v>1051</v>
      </c>
      <c r="B241" s="551" t="s">
        <v>1638</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14700600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2000000</v>
      </c>
      <c r="BQ241">
        <v>0</v>
      </c>
      <c r="BR241">
        <v>0</v>
      </c>
      <c r="BS241">
        <v>0</v>
      </c>
      <c r="BT241">
        <v>0</v>
      </c>
      <c r="BU241">
        <v>0</v>
      </c>
      <c r="BV241">
        <v>0</v>
      </c>
      <c r="BW241">
        <v>0</v>
      </c>
      <c r="BX241">
        <v>0</v>
      </c>
      <c r="BY241">
        <v>0</v>
      </c>
      <c r="BZ241">
        <v>0</v>
      </c>
      <c r="CA241">
        <v>0</v>
      </c>
      <c r="CB241">
        <v>0</v>
      </c>
      <c r="CC241">
        <v>0</v>
      </c>
      <c r="CD241">
        <v>0</v>
      </c>
    </row>
    <row r="242" spans="1:82" x14ac:dyDescent="0.3">
      <c r="A242" s="155">
        <v>1052</v>
      </c>
      <c r="B242" t="s">
        <v>1639</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-149032</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-1471975</v>
      </c>
      <c r="AW242">
        <v>0</v>
      </c>
      <c r="AX242">
        <v>0</v>
      </c>
      <c r="AY242">
        <v>0</v>
      </c>
      <c r="AZ242">
        <v>0</v>
      </c>
      <c r="BA242">
        <v>0</v>
      </c>
      <c r="BB242">
        <v>0</v>
      </c>
      <c r="BC242">
        <v>0</v>
      </c>
      <c r="BD242">
        <v>0</v>
      </c>
      <c r="BE242">
        <v>0</v>
      </c>
      <c r="BF242">
        <v>0</v>
      </c>
      <c r="BG242">
        <v>0</v>
      </c>
      <c r="BH242">
        <v>-225893</v>
      </c>
      <c r="BI242">
        <v>0</v>
      </c>
      <c r="BJ242">
        <v>0</v>
      </c>
      <c r="BK242">
        <v>0</v>
      </c>
      <c r="BL242">
        <v>0</v>
      </c>
      <c r="BM242">
        <v>-43069</v>
      </c>
      <c r="BN242">
        <v>0</v>
      </c>
      <c r="BO242">
        <v>0</v>
      </c>
      <c r="BP242">
        <v>-930882</v>
      </c>
      <c r="BQ242">
        <v>0</v>
      </c>
      <c r="BR242">
        <v>0</v>
      </c>
      <c r="BS242">
        <v>0</v>
      </c>
      <c r="BT242">
        <v>0</v>
      </c>
      <c r="BU242">
        <v>0</v>
      </c>
      <c r="BV242">
        <v>0</v>
      </c>
      <c r="BW242">
        <v>0</v>
      </c>
      <c r="BX242">
        <v>0</v>
      </c>
      <c r="BY242">
        <v>0</v>
      </c>
      <c r="BZ242">
        <v>0</v>
      </c>
      <c r="CA242">
        <v>0</v>
      </c>
      <c r="CB242">
        <v>0</v>
      </c>
      <c r="CC242">
        <v>0</v>
      </c>
      <c r="CD242">
        <v>0</v>
      </c>
    </row>
    <row r="243" spans="1:82" x14ac:dyDescent="0.3">
      <c r="A243" s="155">
        <v>1053</v>
      </c>
      <c r="B243" t="s">
        <v>1640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-5279344</v>
      </c>
      <c r="AV243">
        <v>-690228</v>
      </c>
      <c r="AW243">
        <v>0</v>
      </c>
      <c r="AX243">
        <v>0</v>
      </c>
      <c r="AY243">
        <v>0</v>
      </c>
      <c r="AZ243">
        <v>0</v>
      </c>
      <c r="BA243">
        <v>0</v>
      </c>
      <c r="BB243">
        <v>0</v>
      </c>
      <c r="BC243">
        <v>0</v>
      </c>
      <c r="BD243">
        <v>0</v>
      </c>
      <c r="BE243">
        <v>0</v>
      </c>
      <c r="BF243">
        <v>0</v>
      </c>
      <c r="BG243">
        <v>0</v>
      </c>
      <c r="BH243">
        <v>22716</v>
      </c>
      <c r="BI243">
        <v>0</v>
      </c>
      <c r="BJ243">
        <v>0</v>
      </c>
      <c r="BK243">
        <v>0</v>
      </c>
      <c r="BL243">
        <v>0</v>
      </c>
      <c r="BM243">
        <v>-24033</v>
      </c>
      <c r="BN243">
        <v>0</v>
      </c>
      <c r="BO243">
        <v>0</v>
      </c>
      <c r="BP243">
        <v>-1189927</v>
      </c>
      <c r="BQ243">
        <v>0</v>
      </c>
      <c r="BR243">
        <v>0</v>
      </c>
      <c r="BS243">
        <v>0</v>
      </c>
      <c r="BT243">
        <v>0</v>
      </c>
      <c r="BU243">
        <v>0</v>
      </c>
      <c r="BV243">
        <v>0</v>
      </c>
      <c r="BW243">
        <v>0</v>
      </c>
      <c r="BX243">
        <v>0</v>
      </c>
      <c r="BY243">
        <v>0</v>
      </c>
      <c r="BZ243">
        <v>0</v>
      </c>
      <c r="CA243">
        <v>0</v>
      </c>
      <c r="CB243">
        <v>0</v>
      </c>
      <c r="CC243">
        <v>0</v>
      </c>
      <c r="CD243">
        <v>0</v>
      </c>
    </row>
    <row r="244" spans="1:82" x14ac:dyDescent="0.3">
      <c r="A244" s="155">
        <v>1054</v>
      </c>
      <c r="B244" s="551" t="s">
        <v>1641</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-1346911</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-3273869</v>
      </c>
      <c r="BQ244">
        <v>0</v>
      </c>
      <c r="BR244">
        <v>0</v>
      </c>
      <c r="BS244">
        <v>0</v>
      </c>
      <c r="BT244">
        <v>0</v>
      </c>
      <c r="BU244">
        <v>0</v>
      </c>
      <c r="BV244">
        <v>0</v>
      </c>
      <c r="BW244">
        <v>0</v>
      </c>
      <c r="BX244">
        <v>0</v>
      </c>
      <c r="BY244">
        <v>0</v>
      </c>
      <c r="BZ244">
        <v>0</v>
      </c>
      <c r="CA244">
        <v>0</v>
      </c>
      <c r="CB244">
        <v>0</v>
      </c>
      <c r="CC244">
        <v>0</v>
      </c>
      <c r="CD244">
        <v>0</v>
      </c>
    </row>
    <row r="245" spans="1:82" x14ac:dyDescent="0.3">
      <c r="A245" s="155">
        <v>1055</v>
      </c>
      <c r="B245" t="s">
        <v>1642</v>
      </c>
      <c r="D245">
        <v>2</v>
      </c>
      <c r="E245">
        <v>2</v>
      </c>
      <c r="F245">
        <v>2</v>
      </c>
      <c r="G245">
        <v>2</v>
      </c>
      <c r="H245">
        <v>2</v>
      </c>
      <c r="I245">
        <v>2</v>
      </c>
      <c r="J245">
        <v>2</v>
      </c>
      <c r="K245">
        <v>2</v>
      </c>
      <c r="L245">
        <v>2</v>
      </c>
      <c r="M245">
        <v>2</v>
      </c>
      <c r="N245">
        <v>2</v>
      </c>
      <c r="O245">
        <v>2</v>
      </c>
      <c r="P245">
        <v>2</v>
      </c>
      <c r="Q245">
        <v>2</v>
      </c>
      <c r="R245">
        <v>2</v>
      </c>
      <c r="S245">
        <v>1</v>
      </c>
      <c r="T245">
        <v>2</v>
      </c>
      <c r="U245">
        <v>2</v>
      </c>
      <c r="V245">
        <v>2</v>
      </c>
      <c r="W245">
        <v>2</v>
      </c>
      <c r="X245">
        <v>2</v>
      </c>
      <c r="Y245">
        <v>2</v>
      </c>
      <c r="Z245">
        <v>2</v>
      </c>
      <c r="AA245">
        <v>2</v>
      </c>
      <c r="AB245">
        <v>2</v>
      </c>
      <c r="AC245">
        <v>2</v>
      </c>
      <c r="AD245">
        <v>2</v>
      </c>
      <c r="AE245">
        <v>2</v>
      </c>
      <c r="AF245">
        <v>2</v>
      </c>
      <c r="AG245">
        <v>2</v>
      </c>
      <c r="AH245">
        <v>1</v>
      </c>
      <c r="AI245">
        <v>2</v>
      </c>
      <c r="AJ245">
        <v>2</v>
      </c>
      <c r="AK245">
        <v>2</v>
      </c>
      <c r="AL245">
        <v>2</v>
      </c>
      <c r="AM245">
        <v>2</v>
      </c>
      <c r="AN245">
        <v>2</v>
      </c>
      <c r="AO245">
        <v>2</v>
      </c>
      <c r="AP245">
        <v>2</v>
      </c>
      <c r="AQ245">
        <v>2</v>
      </c>
      <c r="AR245">
        <v>2</v>
      </c>
      <c r="AS245">
        <v>2</v>
      </c>
      <c r="AT245">
        <v>2</v>
      </c>
      <c r="AU245">
        <v>2</v>
      </c>
      <c r="AV245">
        <v>2</v>
      </c>
      <c r="AW245">
        <v>2</v>
      </c>
      <c r="AX245">
        <v>1</v>
      </c>
      <c r="AY245">
        <v>2</v>
      </c>
      <c r="AZ245">
        <v>2</v>
      </c>
      <c r="BA245">
        <v>2</v>
      </c>
      <c r="BB245">
        <v>2</v>
      </c>
      <c r="BC245">
        <v>2</v>
      </c>
      <c r="BD245">
        <v>2</v>
      </c>
      <c r="BE245">
        <v>2</v>
      </c>
      <c r="BF245">
        <v>2</v>
      </c>
      <c r="BG245">
        <v>2</v>
      </c>
      <c r="BH245">
        <v>2</v>
      </c>
      <c r="BI245">
        <v>2</v>
      </c>
      <c r="BJ245">
        <v>2</v>
      </c>
      <c r="BK245">
        <v>2</v>
      </c>
      <c r="BL245">
        <v>2</v>
      </c>
      <c r="BM245">
        <v>2</v>
      </c>
      <c r="BN245">
        <v>1</v>
      </c>
      <c r="BO245">
        <v>2</v>
      </c>
      <c r="BP245">
        <v>2</v>
      </c>
      <c r="BQ245">
        <v>2</v>
      </c>
      <c r="BR245">
        <v>2</v>
      </c>
      <c r="BS245">
        <v>2</v>
      </c>
      <c r="BT245">
        <v>2</v>
      </c>
      <c r="BU245">
        <v>2</v>
      </c>
      <c r="BV245">
        <v>2</v>
      </c>
      <c r="BW245">
        <v>2</v>
      </c>
      <c r="BX245">
        <v>2</v>
      </c>
      <c r="BY245">
        <v>2</v>
      </c>
      <c r="BZ245">
        <v>2</v>
      </c>
      <c r="CA245">
        <v>2</v>
      </c>
      <c r="CB245">
        <v>2</v>
      </c>
      <c r="CC245">
        <v>2</v>
      </c>
      <c r="CD245">
        <v>2</v>
      </c>
    </row>
    <row r="246" spans="1:82" x14ac:dyDescent="0.3">
      <c r="A246" s="155">
        <v>1056</v>
      </c>
      <c r="B246" t="s">
        <v>1643</v>
      </c>
      <c r="D246">
        <v>2</v>
      </c>
      <c r="E246">
        <v>2</v>
      </c>
      <c r="F246">
        <v>2</v>
      </c>
      <c r="G246">
        <v>2</v>
      </c>
      <c r="H246">
        <v>2</v>
      </c>
      <c r="I246">
        <v>2</v>
      </c>
      <c r="J246">
        <v>2</v>
      </c>
      <c r="K246">
        <v>2</v>
      </c>
      <c r="L246">
        <v>2</v>
      </c>
      <c r="M246">
        <v>1</v>
      </c>
      <c r="N246">
        <v>2</v>
      </c>
      <c r="O246">
        <v>2</v>
      </c>
      <c r="P246">
        <v>2</v>
      </c>
      <c r="Q246">
        <v>2</v>
      </c>
      <c r="R246">
        <v>2</v>
      </c>
      <c r="S246">
        <v>1</v>
      </c>
      <c r="T246">
        <v>2</v>
      </c>
      <c r="U246">
        <v>2</v>
      </c>
      <c r="V246">
        <v>2</v>
      </c>
      <c r="W246">
        <v>2</v>
      </c>
      <c r="X246">
        <v>2</v>
      </c>
      <c r="Y246">
        <v>2</v>
      </c>
      <c r="Z246">
        <v>2</v>
      </c>
      <c r="AA246">
        <v>2</v>
      </c>
      <c r="AB246">
        <v>2</v>
      </c>
      <c r="AC246">
        <v>2</v>
      </c>
      <c r="AD246">
        <v>2</v>
      </c>
      <c r="AE246">
        <v>1</v>
      </c>
      <c r="AF246">
        <v>2</v>
      </c>
      <c r="AG246">
        <v>2</v>
      </c>
      <c r="AH246">
        <v>2</v>
      </c>
      <c r="AI246">
        <v>2</v>
      </c>
      <c r="AJ246">
        <v>2</v>
      </c>
      <c r="AK246">
        <v>2</v>
      </c>
      <c r="AL246">
        <v>2</v>
      </c>
      <c r="AM246">
        <v>2</v>
      </c>
      <c r="AN246">
        <v>2</v>
      </c>
      <c r="AO246">
        <v>2</v>
      </c>
      <c r="AP246">
        <v>2</v>
      </c>
      <c r="AQ246">
        <v>2</v>
      </c>
      <c r="AR246">
        <v>2</v>
      </c>
      <c r="AS246">
        <v>1</v>
      </c>
      <c r="AT246">
        <v>2</v>
      </c>
      <c r="AU246">
        <v>2</v>
      </c>
      <c r="AV246">
        <v>2</v>
      </c>
      <c r="AW246">
        <v>2</v>
      </c>
      <c r="AX246">
        <v>2</v>
      </c>
      <c r="AY246">
        <v>2</v>
      </c>
      <c r="AZ246">
        <v>2</v>
      </c>
      <c r="BA246">
        <v>2</v>
      </c>
      <c r="BB246">
        <v>2</v>
      </c>
      <c r="BC246">
        <v>2</v>
      </c>
      <c r="BD246">
        <v>2</v>
      </c>
      <c r="BE246">
        <v>2</v>
      </c>
      <c r="BF246">
        <v>2</v>
      </c>
      <c r="BG246">
        <v>2</v>
      </c>
      <c r="BH246">
        <v>2</v>
      </c>
      <c r="BI246">
        <v>2</v>
      </c>
      <c r="BJ246">
        <v>2</v>
      </c>
      <c r="BK246">
        <v>2</v>
      </c>
      <c r="BL246">
        <v>2</v>
      </c>
      <c r="BM246">
        <v>2</v>
      </c>
      <c r="BN246">
        <v>2</v>
      </c>
      <c r="BO246">
        <v>2</v>
      </c>
      <c r="BP246">
        <v>2</v>
      </c>
      <c r="BQ246">
        <v>2</v>
      </c>
      <c r="BR246">
        <v>2</v>
      </c>
      <c r="BS246">
        <v>2</v>
      </c>
      <c r="BT246">
        <v>2</v>
      </c>
      <c r="BU246">
        <v>2</v>
      </c>
      <c r="BV246">
        <v>2</v>
      </c>
      <c r="BW246">
        <v>2</v>
      </c>
      <c r="BX246">
        <v>2</v>
      </c>
      <c r="BY246">
        <v>2</v>
      </c>
      <c r="BZ246">
        <v>1</v>
      </c>
      <c r="CA246">
        <v>2</v>
      </c>
      <c r="CB246">
        <v>2</v>
      </c>
      <c r="CC246">
        <v>2</v>
      </c>
      <c r="CD246">
        <v>2</v>
      </c>
    </row>
    <row r="247" spans="1:82" x14ac:dyDescent="0.3">
      <c r="A247" s="155">
        <v>1057</v>
      </c>
      <c r="B247" t="s">
        <v>1442</v>
      </c>
      <c r="D247">
        <v>1</v>
      </c>
      <c r="E247">
        <v>2</v>
      </c>
      <c r="F247">
        <v>2</v>
      </c>
      <c r="G247">
        <v>2</v>
      </c>
      <c r="H247">
        <v>2</v>
      </c>
      <c r="I247">
        <v>2</v>
      </c>
      <c r="J247">
        <v>2</v>
      </c>
      <c r="K247">
        <v>2</v>
      </c>
      <c r="L247">
        <v>1</v>
      </c>
      <c r="M247">
        <v>2</v>
      </c>
      <c r="N247">
        <v>2</v>
      </c>
      <c r="O247">
        <v>2</v>
      </c>
      <c r="P247">
        <v>2</v>
      </c>
      <c r="Q247">
        <v>2</v>
      </c>
      <c r="R247">
        <v>2</v>
      </c>
      <c r="S247">
        <v>2</v>
      </c>
      <c r="T247">
        <v>1</v>
      </c>
      <c r="U247">
        <v>2</v>
      </c>
      <c r="V247">
        <v>2</v>
      </c>
      <c r="W247">
        <v>2</v>
      </c>
      <c r="X247">
        <v>2</v>
      </c>
      <c r="Y247">
        <v>2</v>
      </c>
      <c r="Z247">
        <v>2</v>
      </c>
      <c r="AA247">
        <v>2</v>
      </c>
      <c r="AB247">
        <v>2</v>
      </c>
      <c r="AC247">
        <v>2</v>
      </c>
      <c r="AD247">
        <v>2</v>
      </c>
      <c r="AE247">
        <v>2</v>
      </c>
      <c r="AF247">
        <v>2</v>
      </c>
      <c r="AG247">
        <v>1</v>
      </c>
      <c r="AH247">
        <v>1</v>
      </c>
      <c r="AI247">
        <v>2</v>
      </c>
      <c r="AJ247">
        <v>1</v>
      </c>
      <c r="AK247">
        <v>1</v>
      </c>
      <c r="AL247">
        <v>2</v>
      </c>
      <c r="AM247">
        <v>2</v>
      </c>
      <c r="AN247">
        <v>2</v>
      </c>
      <c r="AO247">
        <v>2</v>
      </c>
      <c r="AP247">
        <v>2</v>
      </c>
      <c r="AQ247">
        <v>2</v>
      </c>
      <c r="AR247">
        <v>2</v>
      </c>
      <c r="AS247">
        <v>2</v>
      </c>
      <c r="AT247">
        <v>2</v>
      </c>
      <c r="AU247">
        <v>2</v>
      </c>
      <c r="AV247">
        <v>2</v>
      </c>
      <c r="AW247">
        <v>2</v>
      </c>
      <c r="AX247">
        <v>1</v>
      </c>
      <c r="AY247">
        <v>2</v>
      </c>
      <c r="AZ247">
        <v>2</v>
      </c>
      <c r="BA247">
        <v>1</v>
      </c>
      <c r="BB247">
        <v>2</v>
      </c>
      <c r="BC247">
        <v>2</v>
      </c>
      <c r="BD247">
        <v>2</v>
      </c>
      <c r="BE247">
        <v>2</v>
      </c>
      <c r="BF247">
        <v>2</v>
      </c>
      <c r="BG247">
        <v>2</v>
      </c>
      <c r="BH247">
        <v>2</v>
      </c>
      <c r="BI247">
        <v>1</v>
      </c>
      <c r="BJ247">
        <v>2</v>
      </c>
      <c r="BK247">
        <v>1</v>
      </c>
      <c r="BL247">
        <v>2</v>
      </c>
      <c r="BM247">
        <v>2</v>
      </c>
      <c r="BN247">
        <v>1</v>
      </c>
      <c r="BO247">
        <v>2</v>
      </c>
      <c r="BP247">
        <v>2</v>
      </c>
      <c r="BQ247">
        <v>1</v>
      </c>
      <c r="BR247">
        <v>2</v>
      </c>
      <c r="BS247">
        <v>2</v>
      </c>
      <c r="BT247">
        <v>2</v>
      </c>
      <c r="BU247">
        <v>2</v>
      </c>
      <c r="BV247">
        <v>1</v>
      </c>
      <c r="BW247">
        <v>2</v>
      </c>
      <c r="BX247">
        <v>2</v>
      </c>
      <c r="BY247">
        <v>2</v>
      </c>
      <c r="BZ247">
        <v>1</v>
      </c>
      <c r="CA247">
        <v>2</v>
      </c>
      <c r="CB247">
        <v>2</v>
      </c>
      <c r="CC247">
        <v>2</v>
      </c>
      <c r="CD247">
        <v>2</v>
      </c>
    </row>
    <row r="248" spans="1:82" x14ac:dyDescent="0.3">
      <c r="A248" s="155">
        <v>1058</v>
      </c>
      <c r="B248" t="s">
        <v>1443</v>
      </c>
      <c r="D248">
        <v>2</v>
      </c>
      <c r="E248">
        <v>2</v>
      </c>
      <c r="F248">
        <v>2</v>
      </c>
      <c r="G248">
        <v>2</v>
      </c>
      <c r="H248">
        <v>2</v>
      </c>
      <c r="I248">
        <v>2</v>
      </c>
      <c r="J248">
        <v>2</v>
      </c>
      <c r="K248">
        <v>2</v>
      </c>
      <c r="L248">
        <v>2</v>
      </c>
      <c r="M248">
        <v>2</v>
      </c>
      <c r="N248">
        <v>2</v>
      </c>
      <c r="O248">
        <v>2</v>
      </c>
      <c r="P248">
        <v>1</v>
      </c>
      <c r="Q248">
        <v>2</v>
      </c>
      <c r="R248">
        <v>2</v>
      </c>
      <c r="S248">
        <v>1</v>
      </c>
      <c r="T248">
        <v>2</v>
      </c>
      <c r="U248">
        <v>2</v>
      </c>
      <c r="V248">
        <v>2</v>
      </c>
      <c r="W248">
        <v>2</v>
      </c>
      <c r="X248">
        <v>2</v>
      </c>
      <c r="Y248">
        <v>2</v>
      </c>
      <c r="Z248">
        <v>2</v>
      </c>
      <c r="AA248">
        <v>2</v>
      </c>
      <c r="AB248">
        <v>2</v>
      </c>
      <c r="AC248">
        <v>2</v>
      </c>
      <c r="AD248">
        <v>2</v>
      </c>
      <c r="AE248">
        <v>2</v>
      </c>
      <c r="AF248">
        <v>2</v>
      </c>
      <c r="AG248">
        <v>2</v>
      </c>
      <c r="AH248">
        <v>2</v>
      </c>
      <c r="AI248">
        <v>2</v>
      </c>
      <c r="AJ248">
        <v>2</v>
      </c>
      <c r="AK248">
        <v>2</v>
      </c>
      <c r="AL248">
        <v>2</v>
      </c>
      <c r="AM248">
        <v>2</v>
      </c>
      <c r="AN248">
        <v>2</v>
      </c>
      <c r="AO248">
        <v>2</v>
      </c>
      <c r="AP248">
        <v>2</v>
      </c>
      <c r="AQ248">
        <v>2</v>
      </c>
      <c r="AR248">
        <v>2</v>
      </c>
      <c r="AS248">
        <v>1</v>
      </c>
      <c r="AT248">
        <v>2</v>
      </c>
      <c r="AU248">
        <v>2</v>
      </c>
      <c r="AV248">
        <v>2</v>
      </c>
      <c r="AW248">
        <v>2</v>
      </c>
      <c r="AX248">
        <v>2</v>
      </c>
      <c r="AY248">
        <v>2</v>
      </c>
      <c r="AZ248">
        <v>2</v>
      </c>
      <c r="BA248">
        <v>2</v>
      </c>
      <c r="BB248">
        <v>2</v>
      </c>
      <c r="BC248">
        <v>2</v>
      </c>
      <c r="BD248">
        <v>2</v>
      </c>
      <c r="BE248">
        <v>2</v>
      </c>
      <c r="BF248">
        <v>2</v>
      </c>
      <c r="BG248">
        <v>2</v>
      </c>
      <c r="BH248">
        <v>2</v>
      </c>
      <c r="BI248">
        <v>2</v>
      </c>
      <c r="BJ248">
        <v>2</v>
      </c>
      <c r="BK248">
        <v>2</v>
      </c>
      <c r="BL248">
        <v>2</v>
      </c>
      <c r="BM248">
        <v>2</v>
      </c>
      <c r="BN248">
        <v>1</v>
      </c>
      <c r="BO248">
        <v>1</v>
      </c>
      <c r="BP248">
        <v>2</v>
      </c>
      <c r="BQ248">
        <v>2</v>
      </c>
      <c r="BR248">
        <v>2</v>
      </c>
      <c r="BS248">
        <v>2</v>
      </c>
      <c r="BT248">
        <v>1</v>
      </c>
      <c r="BU248">
        <v>2</v>
      </c>
      <c r="BV248">
        <v>2</v>
      </c>
      <c r="BW248">
        <v>2</v>
      </c>
      <c r="BX248">
        <v>2</v>
      </c>
      <c r="BY248">
        <v>2</v>
      </c>
      <c r="BZ248">
        <v>1</v>
      </c>
      <c r="CA248">
        <v>2</v>
      </c>
      <c r="CB248">
        <v>2</v>
      </c>
      <c r="CC248">
        <v>2</v>
      </c>
      <c r="CD248">
        <v>2</v>
      </c>
    </row>
    <row r="249" spans="1:82" x14ac:dyDescent="0.3">
      <c r="A249" s="155">
        <v>1059</v>
      </c>
      <c r="B249" t="s">
        <v>1644</v>
      </c>
      <c r="D249">
        <v>1</v>
      </c>
      <c r="E249">
        <v>1</v>
      </c>
      <c r="F249">
        <v>1</v>
      </c>
      <c r="G249">
        <v>1</v>
      </c>
      <c r="H249">
        <v>1</v>
      </c>
      <c r="I249">
        <v>1</v>
      </c>
      <c r="J249">
        <v>1</v>
      </c>
      <c r="K249">
        <v>1</v>
      </c>
      <c r="L249">
        <v>1</v>
      </c>
      <c r="M249">
        <v>1</v>
      </c>
      <c r="N249">
        <v>1</v>
      </c>
      <c r="O249">
        <v>1</v>
      </c>
      <c r="P249">
        <v>1</v>
      </c>
      <c r="Q249">
        <v>1</v>
      </c>
      <c r="R249">
        <v>1</v>
      </c>
      <c r="S249">
        <v>1</v>
      </c>
      <c r="T249">
        <v>1</v>
      </c>
      <c r="U249">
        <v>1</v>
      </c>
      <c r="V249">
        <v>1</v>
      </c>
      <c r="W249">
        <v>1</v>
      </c>
      <c r="X249">
        <v>1</v>
      </c>
      <c r="Y249">
        <v>1</v>
      </c>
      <c r="Z249">
        <v>1</v>
      </c>
      <c r="AA249">
        <v>1</v>
      </c>
      <c r="AB249">
        <v>1</v>
      </c>
      <c r="AC249">
        <v>1</v>
      </c>
      <c r="AD249">
        <v>1</v>
      </c>
      <c r="AE249">
        <v>1</v>
      </c>
      <c r="AF249">
        <v>1</v>
      </c>
      <c r="AG249">
        <v>1</v>
      </c>
      <c r="AH249">
        <v>1</v>
      </c>
      <c r="AI249">
        <v>1</v>
      </c>
      <c r="AJ249">
        <v>1</v>
      </c>
      <c r="AK249">
        <v>1</v>
      </c>
      <c r="AL249">
        <v>1</v>
      </c>
      <c r="AM249">
        <v>1</v>
      </c>
      <c r="AN249">
        <v>1</v>
      </c>
      <c r="AO249">
        <v>1</v>
      </c>
      <c r="AP249">
        <v>1</v>
      </c>
      <c r="AQ249">
        <v>1</v>
      </c>
      <c r="AR249">
        <v>1</v>
      </c>
      <c r="AS249">
        <v>1</v>
      </c>
      <c r="AT249">
        <v>1</v>
      </c>
      <c r="AU249">
        <v>1</v>
      </c>
      <c r="AV249">
        <v>1</v>
      </c>
      <c r="AW249">
        <v>1</v>
      </c>
      <c r="AX249">
        <v>1</v>
      </c>
      <c r="AY249">
        <v>1</v>
      </c>
      <c r="AZ249">
        <v>1</v>
      </c>
      <c r="BA249">
        <v>1</v>
      </c>
      <c r="BB249">
        <v>1</v>
      </c>
      <c r="BC249">
        <v>1</v>
      </c>
      <c r="BD249">
        <v>1</v>
      </c>
      <c r="BE249">
        <v>1</v>
      </c>
      <c r="BF249">
        <v>1</v>
      </c>
      <c r="BG249">
        <v>1</v>
      </c>
      <c r="BH249">
        <v>1</v>
      </c>
      <c r="BI249">
        <v>1</v>
      </c>
      <c r="BJ249">
        <v>1</v>
      </c>
      <c r="BK249">
        <v>1</v>
      </c>
      <c r="BL249">
        <v>1</v>
      </c>
      <c r="BM249">
        <v>1</v>
      </c>
      <c r="BN249">
        <v>1</v>
      </c>
      <c r="BO249">
        <v>1</v>
      </c>
      <c r="BP249">
        <v>1</v>
      </c>
      <c r="BQ249">
        <v>1</v>
      </c>
      <c r="BR249">
        <v>1</v>
      </c>
      <c r="BS249">
        <v>1</v>
      </c>
      <c r="BT249">
        <v>2</v>
      </c>
      <c r="BU249">
        <v>1</v>
      </c>
      <c r="BV249">
        <v>1</v>
      </c>
      <c r="BW249">
        <v>1</v>
      </c>
      <c r="BX249">
        <v>1</v>
      </c>
      <c r="BY249">
        <v>1</v>
      </c>
      <c r="BZ249">
        <v>1</v>
      </c>
      <c r="CA249">
        <v>1</v>
      </c>
      <c r="CB249">
        <v>1</v>
      </c>
      <c r="CC249">
        <v>1</v>
      </c>
      <c r="CD249">
        <v>1</v>
      </c>
    </row>
    <row r="250" spans="1:82" x14ac:dyDescent="0.3">
      <c r="A250" s="155">
        <v>1060</v>
      </c>
      <c r="B250" t="s">
        <v>1645</v>
      </c>
      <c r="D250">
        <v>140386</v>
      </c>
      <c r="E250">
        <v>0</v>
      </c>
      <c r="F250">
        <v>131426</v>
      </c>
      <c r="G250">
        <v>0</v>
      </c>
      <c r="H250">
        <v>0</v>
      </c>
      <c r="I250">
        <v>0</v>
      </c>
      <c r="J250">
        <v>0</v>
      </c>
      <c r="K250">
        <v>6775</v>
      </c>
      <c r="L250">
        <v>0</v>
      </c>
      <c r="M250">
        <v>3762369</v>
      </c>
      <c r="N250">
        <v>314146</v>
      </c>
      <c r="O250">
        <v>0</v>
      </c>
      <c r="P250">
        <v>0</v>
      </c>
      <c r="Q250">
        <v>0</v>
      </c>
      <c r="R250">
        <v>0</v>
      </c>
      <c r="S250">
        <v>0</v>
      </c>
      <c r="T250">
        <v>358500</v>
      </c>
      <c r="U250">
        <v>166041</v>
      </c>
      <c r="V250">
        <v>70871</v>
      </c>
      <c r="W250">
        <v>0</v>
      </c>
      <c r="X250">
        <v>25020</v>
      </c>
      <c r="Y250">
        <v>201098</v>
      </c>
      <c r="Z250">
        <v>57848</v>
      </c>
      <c r="AA250">
        <v>0</v>
      </c>
      <c r="AB250">
        <v>0</v>
      </c>
      <c r="AC250">
        <v>0</v>
      </c>
      <c r="AD250">
        <v>0</v>
      </c>
      <c r="AE250">
        <v>0</v>
      </c>
      <c r="AF250">
        <v>986742</v>
      </c>
      <c r="AG250">
        <v>0</v>
      </c>
      <c r="AH250">
        <v>0</v>
      </c>
      <c r="AI250">
        <v>1169460</v>
      </c>
      <c r="AJ250">
        <v>236314</v>
      </c>
      <c r="AK250">
        <v>0</v>
      </c>
      <c r="AL250">
        <v>4306813</v>
      </c>
      <c r="AM250">
        <v>45799</v>
      </c>
      <c r="AN250">
        <v>0</v>
      </c>
      <c r="AO250">
        <v>3824</v>
      </c>
      <c r="AP250">
        <v>742406</v>
      </c>
      <c r="AQ250">
        <v>480371</v>
      </c>
      <c r="AR250">
        <v>0</v>
      </c>
      <c r="AS250">
        <v>370645</v>
      </c>
      <c r="AT250">
        <v>0</v>
      </c>
      <c r="AU250">
        <v>3436208</v>
      </c>
      <c r="AV250">
        <v>282500</v>
      </c>
      <c r="AW250">
        <v>0</v>
      </c>
      <c r="AX250">
        <v>83617</v>
      </c>
      <c r="AY250">
        <v>79998</v>
      </c>
      <c r="AZ250">
        <v>0</v>
      </c>
      <c r="BA250">
        <v>0</v>
      </c>
      <c r="BB250">
        <v>443986</v>
      </c>
      <c r="BC250">
        <v>60882</v>
      </c>
      <c r="BD250">
        <v>1500</v>
      </c>
      <c r="BE250">
        <v>0</v>
      </c>
      <c r="BF250">
        <v>588903</v>
      </c>
      <c r="BG250">
        <v>0</v>
      </c>
      <c r="BH250">
        <v>49233</v>
      </c>
      <c r="BI250">
        <v>18404</v>
      </c>
      <c r="BJ250">
        <v>12484</v>
      </c>
      <c r="BK250">
        <v>0</v>
      </c>
      <c r="BL250">
        <v>31435</v>
      </c>
      <c r="BM250">
        <v>0</v>
      </c>
      <c r="BN250">
        <v>0</v>
      </c>
      <c r="BO250">
        <v>4118501</v>
      </c>
      <c r="BP250">
        <v>8862085</v>
      </c>
      <c r="BQ250">
        <v>0</v>
      </c>
      <c r="BR250">
        <v>0</v>
      </c>
      <c r="BS250">
        <v>214314</v>
      </c>
      <c r="BT250">
        <v>83460</v>
      </c>
      <c r="BU250">
        <v>0</v>
      </c>
      <c r="BV250">
        <v>0</v>
      </c>
      <c r="BW250">
        <v>0</v>
      </c>
      <c r="BX250">
        <v>0</v>
      </c>
      <c r="BY250">
        <v>13508624</v>
      </c>
      <c r="BZ250">
        <v>61827</v>
      </c>
      <c r="CA250">
        <v>0</v>
      </c>
      <c r="CB250">
        <v>91944</v>
      </c>
      <c r="CC250">
        <v>0</v>
      </c>
      <c r="CD250">
        <v>0</v>
      </c>
    </row>
    <row r="251" spans="1:82" x14ac:dyDescent="0.3">
      <c r="A251" s="155">
        <v>1061</v>
      </c>
      <c r="B251" t="s">
        <v>1646</v>
      </c>
      <c r="D251">
        <v>0</v>
      </c>
      <c r="E251">
        <v>355928</v>
      </c>
      <c r="F251">
        <v>0</v>
      </c>
      <c r="G251">
        <v>0</v>
      </c>
      <c r="H251">
        <v>0</v>
      </c>
      <c r="I251">
        <v>0</v>
      </c>
      <c r="J251">
        <v>0</v>
      </c>
      <c r="K251">
        <v>0</v>
      </c>
      <c r="L251">
        <v>0</v>
      </c>
      <c r="M251">
        <v>16451401</v>
      </c>
      <c r="N251">
        <v>224931</v>
      </c>
      <c r="O251">
        <v>0</v>
      </c>
      <c r="P251">
        <v>0</v>
      </c>
      <c r="Q251">
        <v>0</v>
      </c>
      <c r="R251">
        <v>0</v>
      </c>
      <c r="S251">
        <v>0</v>
      </c>
      <c r="T251">
        <v>672</v>
      </c>
      <c r="U251">
        <v>0</v>
      </c>
      <c r="V251">
        <v>583256</v>
      </c>
      <c r="W251">
        <v>0</v>
      </c>
      <c r="X251">
        <v>0</v>
      </c>
      <c r="Y251">
        <v>0</v>
      </c>
      <c r="Z251">
        <v>4774243</v>
      </c>
      <c r="AA251">
        <v>0</v>
      </c>
      <c r="AB251">
        <v>0</v>
      </c>
      <c r="AC251">
        <v>5004665</v>
      </c>
      <c r="AD251">
        <v>0</v>
      </c>
      <c r="AE251">
        <v>0</v>
      </c>
      <c r="AF251">
        <v>0</v>
      </c>
      <c r="AG251">
        <v>0</v>
      </c>
      <c r="AH251">
        <v>79711</v>
      </c>
      <c r="AI251">
        <v>0</v>
      </c>
      <c r="AJ251">
        <v>0</v>
      </c>
      <c r="AK251">
        <v>0</v>
      </c>
      <c r="AL251">
        <v>4506701</v>
      </c>
      <c r="AM251">
        <v>0</v>
      </c>
      <c r="AN251">
        <v>0</v>
      </c>
      <c r="AO251">
        <v>0</v>
      </c>
      <c r="AP251">
        <v>0</v>
      </c>
      <c r="AQ251">
        <v>480371</v>
      </c>
      <c r="AR251">
        <v>0</v>
      </c>
      <c r="AS251">
        <v>0</v>
      </c>
      <c r="AT251">
        <v>103099</v>
      </c>
      <c r="AU251">
        <v>0</v>
      </c>
      <c r="AV251">
        <v>0</v>
      </c>
      <c r="AW251">
        <v>0</v>
      </c>
      <c r="AX251">
        <v>0</v>
      </c>
      <c r="AY251">
        <v>0</v>
      </c>
      <c r="AZ251">
        <v>0</v>
      </c>
      <c r="BA251">
        <v>58959</v>
      </c>
      <c r="BB251">
        <v>564373</v>
      </c>
      <c r="BC251">
        <v>33930</v>
      </c>
      <c r="BD251">
        <v>29892</v>
      </c>
      <c r="BE251">
        <v>0</v>
      </c>
      <c r="BF251">
        <v>181097</v>
      </c>
      <c r="BG251">
        <v>0</v>
      </c>
      <c r="BH251">
        <v>0</v>
      </c>
      <c r="BI251">
        <v>0</v>
      </c>
      <c r="BJ251">
        <v>64481</v>
      </c>
      <c r="BK251">
        <v>0</v>
      </c>
      <c r="BL251">
        <v>0</v>
      </c>
      <c r="BM251">
        <v>2255900</v>
      </c>
      <c r="BN251">
        <v>0</v>
      </c>
      <c r="BO251">
        <v>4118501</v>
      </c>
      <c r="BP251">
        <v>0</v>
      </c>
      <c r="BQ251">
        <v>0</v>
      </c>
      <c r="BR251">
        <v>156321</v>
      </c>
      <c r="BS251">
        <v>0</v>
      </c>
      <c r="BT251">
        <v>1057636</v>
      </c>
      <c r="BU251">
        <v>0</v>
      </c>
      <c r="BV251">
        <v>91147</v>
      </c>
      <c r="BW251">
        <v>0</v>
      </c>
      <c r="BX251">
        <v>450479</v>
      </c>
      <c r="BY251">
        <v>0</v>
      </c>
      <c r="BZ251">
        <v>0</v>
      </c>
      <c r="CA251">
        <v>0</v>
      </c>
      <c r="CB251">
        <v>0</v>
      </c>
      <c r="CC251">
        <v>0</v>
      </c>
      <c r="CD251">
        <v>0</v>
      </c>
    </row>
    <row r="252" spans="1:82" x14ac:dyDescent="0.3">
      <c r="A252" s="155">
        <v>1062</v>
      </c>
      <c r="B252" t="s">
        <v>1647</v>
      </c>
      <c r="D252">
        <v>1</v>
      </c>
      <c r="E252">
        <v>1</v>
      </c>
      <c r="F252">
        <v>1</v>
      </c>
      <c r="G252">
        <v>1</v>
      </c>
      <c r="H252">
        <v>1</v>
      </c>
      <c r="I252">
        <v>1</v>
      </c>
      <c r="J252">
        <v>3</v>
      </c>
      <c r="K252">
        <v>1</v>
      </c>
      <c r="L252">
        <v>1</v>
      </c>
      <c r="M252">
        <v>1</v>
      </c>
      <c r="N252">
        <v>1</v>
      </c>
      <c r="O252">
        <v>1</v>
      </c>
      <c r="P252">
        <v>1</v>
      </c>
      <c r="Q252">
        <v>1</v>
      </c>
      <c r="R252">
        <v>1</v>
      </c>
      <c r="S252">
        <v>1</v>
      </c>
      <c r="T252">
        <v>0</v>
      </c>
      <c r="U252">
        <v>1</v>
      </c>
      <c r="V252">
        <v>1</v>
      </c>
      <c r="W252">
        <v>1</v>
      </c>
      <c r="X252">
        <v>1</v>
      </c>
      <c r="Y252">
        <v>1</v>
      </c>
      <c r="Z252">
        <v>1</v>
      </c>
      <c r="AA252">
        <v>1</v>
      </c>
      <c r="AB252">
        <v>1</v>
      </c>
      <c r="AC252">
        <v>1</v>
      </c>
      <c r="AD252">
        <v>0</v>
      </c>
      <c r="AE252">
        <v>1</v>
      </c>
      <c r="AF252">
        <v>1</v>
      </c>
      <c r="AG252">
        <v>1</v>
      </c>
      <c r="AH252">
        <v>1</v>
      </c>
      <c r="AI252">
        <v>1</v>
      </c>
      <c r="AJ252">
        <v>1</v>
      </c>
      <c r="AK252">
        <v>0</v>
      </c>
      <c r="AL252">
        <v>1</v>
      </c>
      <c r="AM252">
        <v>1</v>
      </c>
      <c r="AN252">
        <v>1</v>
      </c>
      <c r="AO252">
        <v>1</v>
      </c>
      <c r="AP252">
        <v>1</v>
      </c>
      <c r="AQ252">
        <v>1</v>
      </c>
      <c r="AR252">
        <v>1</v>
      </c>
      <c r="AS252">
        <v>1</v>
      </c>
      <c r="AT252">
        <v>1</v>
      </c>
      <c r="AU252">
        <v>1</v>
      </c>
      <c r="AV252">
        <v>1</v>
      </c>
      <c r="AW252">
        <v>1</v>
      </c>
      <c r="AX252">
        <v>1</v>
      </c>
      <c r="AY252">
        <v>1</v>
      </c>
      <c r="AZ252">
        <v>0</v>
      </c>
      <c r="BA252">
        <v>1</v>
      </c>
      <c r="BB252">
        <v>1</v>
      </c>
      <c r="BC252">
        <v>1</v>
      </c>
      <c r="BD252">
        <v>1</v>
      </c>
      <c r="BE252">
        <v>0</v>
      </c>
      <c r="BF252">
        <v>1</v>
      </c>
      <c r="BG252">
        <v>1</v>
      </c>
      <c r="BH252">
        <v>1</v>
      </c>
      <c r="BI252">
        <v>1</v>
      </c>
      <c r="BJ252">
        <v>1</v>
      </c>
      <c r="BK252">
        <v>1</v>
      </c>
      <c r="BL252">
        <v>1</v>
      </c>
      <c r="BM252">
        <v>1</v>
      </c>
      <c r="BN252">
        <v>1</v>
      </c>
      <c r="BO252">
        <v>1</v>
      </c>
      <c r="BP252">
        <v>1</v>
      </c>
      <c r="BQ252">
        <v>1</v>
      </c>
      <c r="BR252">
        <v>1</v>
      </c>
      <c r="BS252">
        <v>1</v>
      </c>
      <c r="BT252">
        <v>1</v>
      </c>
      <c r="BU252">
        <v>1</v>
      </c>
      <c r="BV252">
        <v>1</v>
      </c>
      <c r="BW252">
        <v>1</v>
      </c>
      <c r="BX252">
        <v>2</v>
      </c>
      <c r="BY252">
        <v>1</v>
      </c>
      <c r="BZ252">
        <v>1</v>
      </c>
      <c r="CA252">
        <v>0</v>
      </c>
      <c r="CB252">
        <v>1</v>
      </c>
      <c r="CC252">
        <v>1</v>
      </c>
      <c r="CD252">
        <v>1</v>
      </c>
    </row>
    <row r="253" spans="1:82" x14ac:dyDescent="0.3">
      <c r="A253" s="155">
        <v>1063</v>
      </c>
      <c r="B253" t="s">
        <v>1648</v>
      </c>
      <c r="D253">
        <v>1</v>
      </c>
      <c r="E253">
        <v>1</v>
      </c>
      <c r="F253">
        <v>1</v>
      </c>
      <c r="G253">
        <v>1</v>
      </c>
      <c r="H253">
        <v>1</v>
      </c>
      <c r="I253">
        <v>1</v>
      </c>
      <c r="J253">
        <v>3</v>
      </c>
      <c r="K253">
        <v>1</v>
      </c>
      <c r="L253">
        <v>1</v>
      </c>
      <c r="M253">
        <v>1</v>
      </c>
      <c r="N253">
        <v>1</v>
      </c>
      <c r="O253">
        <v>1</v>
      </c>
      <c r="P253">
        <v>1</v>
      </c>
      <c r="Q253">
        <v>1</v>
      </c>
      <c r="R253">
        <v>1</v>
      </c>
      <c r="S253">
        <v>1</v>
      </c>
      <c r="T253">
        <v>0</v>
      </c>
      <c r="U253">
        <v>1</v>
      </c>
      <c r="V253">
        <v>1</v>
      </c>
      <c r="W253">
        <v>1</v>
      </c>
      <c r="X253">
        <v>1</v>
      </c>
      <c r="Y253">
        <v>1</v>
      </c>
      <c r="Z253">
        <v>1</v>
      </c>
      <c r="AA253">
        <v>1</v>
      </c>
      <c r="AB253">
        <v>1</v>
      </c>
      <c r="AC253">
        <v>1</v>
      </c>
      <c r="AD253">
        <v>0</v>
      </c>
      <c r="AE253">
        <v>1</v>
      </c>
      <c r="AF253">
        <v>1</v>
      </c>
      <c r="AG253">
        <v>1</v>
      </c>
      <c r="AH253">
        <v>1</v>
      </c>
      <c r="AI253">
        <v>1</v>
      </c>
      <c r="AJ253">
        <v>1</v>
      </c>
      <c r="AK253">
        <v>0</v>
      </c>
      <c r="AL253">
        <v>1</v>
      </c>
      <c r="AM253">
        <v>1</v>
      </c>
      <c r="AN253">
        <v>1</v>
      </c>
      <c r="AO253">
        <v>1</v>
      </c>
      <c r="AP253">
        <v>1</v>
      </c>
      <c r="AQ253">
        <v>1</v>
      </c>
      <c r="AR253">
        <v>1</v>
      </c>
      <c r="AS253">
        <v>1</v>
      </c>
      <c r="AT253">
        <v>1</v>
      </c>
      <c r="AU253">
        <v>1</v>
      </c>
      <c r="AV253">
        <v>1</v>
      </c>
      <c r="AW253">
        <v>1</v>
      </c>
      <c r="AX253">
        <v>1</v>
      </c>
      <c r="AY253">
        <v>1</v>
      </c>
      <c r="AZ253">
        <v>0</v>
      </c>
      <c r="BA253">
        <v>1</v>
      </c>
      <c r="BB253">
        <v>1</v>
      </c>
      <c r="BC253">
        <v>1</v>
      </c>
      <c r="BD253">
        <v>1</v>
      </c>
      <c r="BE253">
        <v>0</v>
      </c>
      <c r="BF253">
        <v>1</v>
      </c>
      <c r="BG253">
        <v>1</v>
      </c>
      <c r="BH253">
        <v>1</v>
      </c>
      <c r="BI253">
        <v>1</v>
      </c>
      <c r="BJ253">
        <v>1</v>
      </c>
      <c r="BK253">
        <v>1</v>
      </c>
      <c r="BL253">
        <v>1</v>
      </c>
      <c r="BM253">
        <v>1</v>
      </c>
      <c r="BN253">
        <v>1</v>
      </c>
      <c r="BO253">
        <v>1</v>
      </c>
      <c r="BP253">
        <v>1</v>
      </c>
      <c r="BQ253">
        <v>1</v>
      </c>
      <c r="BR253">
        <v>1</v>
      </c>
      <c r="BS253">
        <v>1</v>
      </c>
      <c r="BT253">
        <v>1</v>
      </c>
      <c r="BU253">
        <v>1</v>
      </c>
      <c r="BV253">
        <v>1</v>
      </c>
      <c r="BW253">
        <v>1</v>
      </c>
      <c r="BX253">
        <v>1</v>
      </c>
      <c r="BY253">
        <v>1</v>
      </c>
      <c r="BZ253">
        <v>1</v>
      </c>
      <c r="CA253">
        <v>0</v>
      </c>
      <c r="CB253">
        <v>1</v>
      </c>
      <c r="CC253">
        <v>1</v>
      </c>
      <c r="CD253">
        <v>1</v>
      </c>
    </row>
    <row r="254" spans="1:82" x14ac:dyDescent="0.3">
      <c r="A254" s="155">
        <v>1064</v>
      </c>
      <c r="B254" t="s">
        <v>1649</v>
      </c>
      <c r="D254">
        <v>140386</v>
      </c>
      <c r="L254">
        <v>0</v>
      </c>
      <c r="M254">
        <v>3762389</v>
      </c>
      <c r="T254">
        <v>358500</v>
      </c>
      <c r="Z254">
        <v>57848</v>
      </c>
      <c r="AC254">
        <v>0</v>
      </c>
      <c r="AF254">
        <v>986742</v>
      </c>
      <c r="AI254">
        <v>1169460</v>
      </c>
      <c r="AL254">
        <v>4306813</v>
      </c>
      <c r="AN254">
        <v>0</v>
      </c>
      <c r="AR254">
        <v>0</v>
      </c>
      <c r="AT254">
        <v>0</v>
      </c>
      <c r="AU254">
        <v>2577154</v>
      </c>
      <c r="AV254">
        <v>282500</v>
      </c>
      <c r="AW254">
        <v>0</v>
      </c>
      <c r="BF254">
        <v>588903</v>
      </c>
      <c r="BH254">
        <v>0</v>
      </c>
      <c r="BM254">
        <v>0</v>
      </c>
      <c r="BN254">
        <v>0</v>
      </c>
      <c r="BO254">
        <v>4118501</v>
      </c>
      <c r="BP254">
        <v>8862085</v>
      </c>
      <c r="BW254">
        <v>0</v>
      </c>
      <c r="BX254">
        <v>0</v>
      </c>
      <c r="BY254">
        <v>7421905</v>
      </c>
      <c r="CD254">
        <v>0</v>
      </c>
    </row>
    <row r="255" spans="1:82" x14ac:dyDescent="0.3">
      <c r="A255" s="155">
        <v>1065</v>
      </c>
      <c r="B255" t="s">
        <v>1650</v>
      </c>
      <c r="D255">
        <v>0</v>
      </c>
      <c r="L255">
        <v>0</v>
      </c>
      <c r="M255">
        <v>0</v>
      </c>
      <c r="T255">
        <v>0</v>
      </c>
      <c r="Z255">
        <v>0</v>
      </c>
      <c r="AC255">
        <v>0</v>
      </c>
      <c r="AF255">
        <v>0</v>
      </c>
      <c r="AI255">
        <v>0</v>
      </c>
      <c r="AL255">
        <v>0</v>
      </c>
      <c r="AN255">
        <v>0</v>
      </c>
      <c r="AR255">
        <v>0</v>
      </c>
      <c r="AT255">
        <v>0</v>
      </c>
      <c r="AU255">
        <v>0</v>
      </c>
      <c r="AV255">
        <v>0</v>
      </c>
      <c r="AW255">
        <v>0</v>
      </c>
      <c r="BF255">
        <v>0</v>
      </c>
      <c r="BH255">
        <v>0</v>
      </c>
      <c r="BM255">
        <v>0</v>
      </c>
      <c r="BN255">
        <v>0</v>
      </c>
      <c r="BO255">
        <v>0</v>
      </c>
      <c r="BP255">
        <v>0</v>
      </c>
      <c r="BW255">
        <v>0</v>
      </c>
      <c r="BX255">
        <v>0</v>
      </c>
      <c r="BY255">
        <v>0</v>
      </c>
      <c r="CD255">
        <v>0</v>
      </c>
    </row>
    <row r="256" spans="1:82" x14ac:dyDescent="0.3">
      <c r="A256" s="155">
        <v>1066</v>
      </c>
      <c r="B256" t="s">
        <v>1651</v>
      </c>
      <c r="D256" t="s">
        <v>2530</v>
      </c>
      <c r="E256" t="s">
        <v>2531</v>
      </c>
      <c r="F256" t="s">
        <v>2532</v>
      </c>
      <c r="G256" t="s">
        <v>1661</v>
      </c>
      <c r="H256" t="s">
        <v>2533</v>
      </c>
      <c r="I256" t="s">
        <v>2534</v>
      </c>
      <c r="J256" t="s">
        <v>2535</v>
      </c>
      <c r="K256" t="s">
        <v>1655</v>
      </c>
      <c r="L256" t="s">
        <v>2536</v>
      </c>
      <c r="M256" t="s">
        <v>2537</v>
      </c>
      <c r="N256" t="s">
        <v>1655</v>
      </c>
      <c r="O256" t="s">
        <v>1658</v>
      </c>
      <c r="P256" t="s">
        <v>2538</v>
      </c>
      <c r="Q256" t="s">
        <v>2539</v>
      </c>
      <c r="R256" t="s">
        <v>1660</v>
      </c>
      <c r="S256" t="s">
        <v>2540</v>
      </c>
      <c r="T256" t="s">
        <v>1654</v>
      </c>
      <c r="U256" t="s">
        <v>1656</v>
      </c>
      <c r="V256" t="s">
        <v>1663</v>
      </c>
      <c r="W256" t="s">
        <v>2541</v>
      </c>
      <c r="X256" t="s">
        <v>1662</v>
      </c>
      <c r="Y256" t="s">
        <v>2542</v>
      </c>
      <c r="Z256" t="s">
        <v>2543</v>
      </c>
      <c r="AA256" t="s">
        <v>2544</v>
      </c>
      <c r="AB256" t="s">
        <v>1658</v>
      </c>
      <c r="AC256" t="s">
        <v>1662</v>
      </c>
      <c r="AD256" t="s">
        <v>1658</v>
      </c>
      <c r="AE256" t="s">
        <v>2545</v>
      </c>
      <c r="AF256" t="s">
        <v>1659</v>
      </c>
      <c r="AG256" t="s">
        <v>2546</v>
      </c>
      <c r="AH256" t="s">
        <v>1654</v>
      </c>
      <c r="AI256" t="s">
        <v>2547</v>
      </c>
      <c r="AJ256" t="s">
        <v>2548</v>
      </c>
      <c r="AK256" t="s">
        <v>1662</v>
      </c>
      <c r="AL256" t="s">
        <v>2549</v>
      </c>
      <c r="AM256" t="s">
        <v>2550</v>
      </c>
      <c r="AN256" t="s">
        <v>1655</v>
      </c>
      <c r="AO256" t="s">
        <v>2551</v>
      </c>
      <c r="AP256" t="s">
        <v>2552</v>
      </c>
      <c r="AQ256" t="s">
        <v>1657</v>
      </c>
      <c r="AR256" t="s">
        <v>1660</v>
      </c>
      <c r="AS256" t="s">
        <v>2028</v>
      </c>
      <c r="AT256" t="s">
        <v>2553</v>
      </c>
      <c r="AU256" t="s">
        <v>2554</v>
      </c>
      <c r="AV256" t="s">
        <v>1655</v>
      </c>
      <c r="AW256" t="s">
        <v>2555</v>
      </c>
      <c r="AX256" t="s">
        <v>2531</v>
      </c>
      <c r="AY256" t="s">
        <v>1662</v>
      </c>
      <c r="AZ256" t="s">
        <v>2552</v>
      </c>
      <c r="BA256" t="s">
        <v>2556</v>
      </c>
      <c r="BB256" t="s">
        <v>1662</v>
      </c>
      <c r="BC256" t="s">
        <v>2557</v>
      </c>
      <c r="BD256" t="s">
        <v>1662</v>
      </c>
      <c r="BE256" t="s">
        <v>1652</v>
      </c>
      <c r="BF256" t="s">
        <v>2558</v>
      </c>
      <c r="BG256" t="s">
        <v>2559</v>
      </c>
      <c r="BH256" t="s">
        <v>2560</v>
      </c>
      <c r="BI256" t="s">
        <v>2561</v>
      </c>
      <c r="BJ256" t="s">
        <v>1664</v>
      </c>
      <c r="BK256" t="s">
        <v>2562</v>
      </c>
      <c r="BL256" t="s">
        <v>1654</v>
      </c>
      <c r="BM256" t="s">
        <v>2533</v>
      </c>
      <c r="BN256" t="s">
        <v>2563</v>
      </c>
      <c r="BO256" t="s">
        <v>2564</v>
      </c>
      <c r="BP256" t="s">
        <v>2554</v>
      </c>
      <c r="BQ256" t="s">
        <v>2565</v>
      </c>
      <c r="BR256" t="s">
        <v>1662</v>
      </c>
      <c r="BS256" t="s">
        <v>1985</v>
      </c>
      <c r="BT256" t="s">
        <v>2566</v>
      </c>
      <c r="BU256" t="s">
        <v>1655</v>
      </c>
      <c r="BV256" t="s">
        <v>1660</v>
      </c>
      <c r="BW256" t="s">
        <v>2558</v>
      </c>
      <c r="BX256" t="s">
        <v>2567</v>
      </c>
      <c r="BY256" t="s">
        <v>2544</v>
      </c>
      <c r="BZ256" t="s">
        <v>2568</v>
      </c>
      <c r="CA256" t="s">
        <v>1654</v>
      </c>
      <c r="CB256" t="s">
        <v>2531</v>
      </c>
      <c r="CC256" t="s">
        <v>1653</v>
      </c>
      <c r="CD256" t="s">
        <v>1655</v>
      </c>
    </row>
    <row r="257" spans="1:82" x14ac:dyDescent="0.3">
      <c r="A257" s="155">
        <v>9000</v>
      </c>
      <c r="B257" t="s">
        <v>951</v>
      </c>
      <c r="C257" t="s">
        <v>349</v>
      </c>
      <c r="D257">
        <v>90205903.150000006</v>
      </c>
      <c r="E257">
        <v>91739265.700000003</v>
      </c>
      <c r="F257">
        <v>14739840.51</v>
      </c>
      <c r="G257">
        <v>73529425.290000007</v>
      </c>
      <c r="H257">
        <v>48124107.450000003</v>
      </c>
      <c r="I257">
        <v>9117012.2300000004</v>
      </c>
      <c r="J257">
        <v>1597232.81</v>
      </c>
      <c r="K257">
        <v>31733749.23</v>
      </c>
      <c r="L257">
        <v>425452991.5</v>
      </c>
      <c r="M257" s="1034">
        <v>5163452007.0200005</v>
      </c>
      <c r="N257">
        <v>57132393.109999999</v>
      </c>
      <c r="O257">
        <v>191505679.61000001</v>
      </c>
      <c r="P257">
        <v>18946029.144000001</v>
      </c>
      <c r="Q257">
        <v>695126105.54999995</v>
      </c>
      <c r="R257">
        <v>2997750.57</v>
      </c>
      <c r="S257">
        <v>44077363.667499997</v>
      </c>
      <c r="T257">
        <v>89028186.859999999</v>
      </c>
      <c r="U257">
        <v>46362743.18</v>
      </c>
      <c r="V257">
        <v>314792147.01999998</v>
      </c>
      <c r="W257">
        <v>36696532.390000001</v>
      </c>
      <c r="X257">
        <v>43528423.265000001</v>
      </c>
      <c r="Y257">
        <v>84043289.5</v>
      </c>
      <c r="Z257">
        <v>2376002282.0149999</v>
      </c>
      <c r="AA257">
        <v>79115572.010000005</v>
      </c>
      <c r="AB257">
        <v>36989374.770000003</v>
      </c>
      <c r="AC257">
        <v>1106602515.9770999</v>
      </c>
      <c r="AD257">
        <v>22486286.469999999</v>
      </c>
      <c r="AE257">
        <v>14931736.199999999</v>
      </c>
      <c r="AF257">
        <v>5327067869.4899998</v>
      </c>
      <c r="AG257">
        <v>11306795.300000001</v>
      </c>
      <c r="AH257">
        <v>12587150.779999999</v>
      </c>
      <c r="AI257">
        <v>198056635.02000001</v>
      </c>
      <c r="AJ257">
        <v>31177364.09</v>
      </c>
      <c r="AK257">
        <v>5731542.0999999996</v>
      </c>
      <c r="AL257">
        <v>1628000450.1600001</v>
      </c>
      <c r="AM257">
        <v>36116201.25</v>
      </c>
      <c r="AN257">
        <v>674302088.84000003</v>
      </c>
      <c r="AO257">
        <v>1340667</v>
      </c>
      <c r="AP257">
        <v>322455817.02999997</v>
      </c>
      <c r="AQ257">
        <v>58895783.600000001</v>
      </c>
      <c r="AR257">
        <v>10375637.880000001</v>
      </c>
      <c r="AS257">
        <v>88157269.790000007</v>
      </c>
      <c r="AT257">
        <v>39349140.719999999</v>
      </c>
      <c r="AU257">
        <v>13597650589.0725</v>
      </c>
      <c r="AV257">
        <v>7108000058.7594995</v>
      </c>
      <c r="AW257">
        <v>85456614.510000005</v>
      </c>
      <c r="AX257">
        <v>24300802.559999999</v>
      </c>
      <c r="AY257">
        <v>22509021.175000001</v>
      </c>
      <c r="AZ257">
        <v>17763837.280000001</v>
      </c>
      <c r="BA257">
        <v>34192890.170000002</v>
      </c>
      <c r="BB257">
        <v>231607686.62</v>
      </c>
      <c r="BC257">
        <v>30571857.09</v>
      </c>
      <c r="BD257">
        <v>3952744.51</v>
      </c>
      <c r="BE257">
        <v>7492933.5999999996</v>
      </c>
      <c r="BF257">
        <v>728813768.755</v>
      </c>
      <c r="BG257">
        <v>1094030.56</v>
      </c>
      <c r="BH257">
        <v>566135056.83000004</v>
      </c>
      <c r="BI257">
        <v>95251543.909999996</v>
      </c>
      <c r="BJ257">
        <v>9434926.625</v>
      </c>
      <c r="BK257">
        <v>5190441</v>
      </c>
      <c r="BL257">
        <v>1151788542.572</v>
      </c>
      <c r="BM257">
        <v>1237778677.28</v>
      </c>
      <c r="BN257">
        <v>164681246.04499999</v>
      </c>
      <c r="BO257">
        <v>2656368935.2199998</v>
      </c>
      <c r="BP257">
        <v>8111355910.1674995</v>
      </c>
      <c r="BQ257">
        <v>32832961.18</v>
      </c>
      <c r="BR257">
        <v>486001628.49000001</v>
      </c>
      <c r="BS257">
        <v>39240174.289999999</v>
      </c>
      <c r="BT257">
        <v>861335949.99699998</v>
      </c>
      <c r="BU257">
        <v>33456050.739999998</v>
      </c>
      <c r="BV257">
        <v>21841699.640000001</v>
      </c>
      <c r="BW257">
        <v>555027395</v>
      </c>
      <c r="BX257">
        <v>61534601.520000003</v>
      </c>
      <c r="BY257">
        <v>2736410603.7715998</v>
      </c>
      <c r="BZ257">
        <v>35644111.109999999</v>
      </c>
      <c r="CA257">
        <v>401493399.36000001</v>
      </c>
      <c r="CB257">
        <v>27294294.100000001</v>
      </c>
      <c r="CC257">
        <v>69572271.450000003</v>
      </c>
      <c r="CD257">
        <v>1758984973.6400001</v>
      </c>
    </row>
    <row r="258" spans="1:82" x14ac:dyDescent="0.3">
      <c r="A258" s="155">
        <v>9001</v>
      </c>
      <c r="B258" t="s">
        <v>952</v>
      </c>
      <c r="C258" t="s">
        <v>953</v>
      </c>
      <c r="D258">
        <v>6760770</v>
      </c>
      <c r="E258">
        <v>3748137</v>
      </c>
      <c r="F258">
        <v>2700422</v>
      </c>
      <c r="G258">
        <v>2311924</v>
      </c>
      <c r="H258">
        <v>1767650</v>
      </c>
      <c r="I258">
        <v>755285</v>
      </c>
      <c r="J258">
        <v>201013</v>
      </c>
      <c r="K258">
        <v>754177</v>
      </c>
      <c r="L258">
        <v>19418819</v>
      </c>
      <c r="M258">
        <v>727736910</v>
      </c>
      <c r="N258">
        <v>8156564</v>
      </c>
      <c r="O258">
        <v>30165158</v>
      </c>
      <c r="P258">
        <v>979671</v>
      </c>
      <c r="Q258">
        <v>31002020</v>
      </c>
      <c r="R258">
        <v>380400</v>
      </c>
      <c r="S258">
        <v>1161725</v>
      </c>
      <c r="T258">
        <v>4729215</v>
      </c>
      <c r="U258">
        <v>3692154</v>
      </c>
      <c r="V258">
        <v>15352732</v>
      </c>
      <c r="W258">
        <v>3697277</v>
      </c>
      <c r="X258">
        <v>1859332</v>
      </c>
      <c r="Y258">
        <v>2086744</v>
      </c>
      <c r="Z258">
        <v>263357931</v>
      </c>
      <c r="AA258">
        <v>11045725</v>
      </c>
      <c r="AB258">
        <v>1689743</v>
      </c>
      <c r="AC258">
        <v>157377396</v>
      </c>
      <c r="AD258">
        <v>2754017</v>
      </c>
      <c r="AE258">
        <v>1608890</v>
      </c>
      <c r="AF258">
        <v>306363014</v>
      </c>
      <c r="AG258">
        <v>1384461</v>
      </c>
      <c r="AH258">
        <v>672913</v>
      </c>
      <c r="AI258">
        <v>12814995</v>
      </c>
      <c r="AJ258">
        <v>2276871</v>
      </c>
      <c r="AK258">
        <v>808774</v>
      </c>
      <c r="AL258">
        <v>122260602</v>
      </c>
      <c r="AM258">
        <v>1463742</v>
      </c>
      <c r="AN258">
        <v>44619620</v>
      </c>
      <c r="AO258">
        <v>122704</v>
      </c>
      <c r="AP258">
        <v>13615398</v>
      </c>
      <c r="AQ258">
        <v>7491727</v>
      </c>
      <c r="AR258">
        <v>2351257</v>
      </c>
      <c r="AS258">
        <v>6279348</v>
      </c>
      <c r="AT258">
        <v>1215205</v>
      </c>
      <c r="AU258">
        <v>1029688071</v>
      </c>
      <c r="AV258">
        <v>410166817</v>
      </c>
      <c r="AW258">
        <v>4087727</v>
      </c>
      <c r="AX258">
        <v>869710</v>
      </c>
      <c r="AY258">
        <v>809701</v>
      </c>
      <c r="AZ258">
        <v>347876</v>
      </c>
      <c r="BA258">
        <v>1479460</v>
      </c>
      <c r="BB258">
        <v>15200861</v>
      </c>
      <c r="BC258">
        <v>2215230</v>
      </c>
      <c r="BD258">
        <v>485761</v>
      </c>
      <c r="BE258">
        <v>183616</v>
      </c>
      <c r="BF258">
        <v>69556655</v>
      </c>
      <c r="BG258">
        <v>126897</v>
      </c>
      <c r="BH258">
        <v>38705955</v>
      </c>
      <c r="BI258">
        <v>9796535</v>
      </c>
      <c r="BJ258">
        <v>1248700</v>
      </c>
      <c r="BK258">
        <v>741087</v>
      </c>
      <c r="BL258">
        <v>40444734</v>
      </c>
      <c r="BM258">
        <v>61894845</v>
      </c>
      <c r="BN258">
        <v>4210347</v>
      </c>
      <c r="BO258">
        <v>238755032</v>
      </c>
      <c r="BP258">
        <v>421880617</v>
      </c>
      <c r="BQ258">
        <v>1510454</v>
      </c>
      <c r="BR258">
        <v>44422456</v>
      </c>
      <c r="BS258">
        <v>6722480</v>
      </c>
      <c r="BT258">
        <v>40756028</v>
      </c>
      <c r="BU258">
        <v>1856605</v>
      </c>
      <c r="BV258">
        <v>1605744</v>
      </c>
      <c r="BW258">
        <v>53214873</v>
      </c>
      <c r="BX258">
        <v>6478103</v>
      </c>
      <c r="BY258">
        <v>276363406</v>
      </c>
      <c r="BZ258">
        <v>1521385</v>
      </c>
      <c r="CA258">
        <v>59421255</v>
      </c>
      <c r="CB258">
        <v>1602275</v>
      </c>
      <c r="CC258">
        <v>9161442</v>
      </c>
      <c r="CD258">
        <v>223732262</v>
      </c>
    </row>
    <row r="259" spans="1:82" x14ac:dyDescent="0.3">
      <c r="A259" s="155">
        <v>9002</v>
      </c>
      <c r="B259" t="s">
        <v>954</v>
      </c>
      <c r="C259" t="s">
        <v>955</v>
      </c>
      <c r="D259">
        <v>337266</v>
      </c>
      <c r="E259">
        <v>50755</v>
      </c>
      <c r="F259">
        <v>92520</v>
      </c>
      <c r="G259">
        <v>183547</v>
      </c>
      <c r="H259">
        <v>21493</v>
      </c>
      <c r="I259">
        <v>16878</v>
      </c>
      <c r="J259">
        <v>965</v>
      </c>
      <c r="K259">
        <v>89710</v>
      </c>
      <c r="L259">
        <v>967485</v>
      </c>
      <c r="M259">
        <v>73274367</v>
      </c>
      <c r="N259">
        <v>295076</v>
      </c>
      <c r="O259">
        <v>2070725</v>
      </c>
      <c r="P259">
        <v>10690</v>
      </c>
      <c r="Q259">
        <v>2261062</v>
      </c>
      <c r="R259">
        <v>37250</v>
      </c>
      <c r="S259">
        <v>85130</v>
      </c>
      <c r="T259">
        <v>1398200</v>
      </c>
      <c r="U259">
        <v>49506</v>
      </c>
      <c r="V259">
        <v>1104399</v>
      </c>
      <c r="W259">
        <v>667556</v>
      </c>
      <c r="X259">
        <v>24409</v>
      </c>
      <c r="Y259">
        <v>109355</v>
      </c>
      <c r="Z259">
        <v>11460246</v>
      </c>
      <c r="AA259">
        <v>639640</v>
      </c>
      <c r="AB259">
        <v>131877</v>
      </c>
      <c r="AC259">
        <v>8809496</v>
      </c>
      <c r="AD259">
        <v>952272</v>
      </c>
      <c r="AE259">
        <v>194779</v>
      </c>
      <c r="AF259">
        <v>35932297</v>
      </c>
      <c r="AG259">
        <v>8895</v>
      </c>
      <c r="AH259">
        <v>4568</v>
      </c>
      <c r="AI259">
        <v>520684</v>
      </c>
      <c r="AJ259">
        <v>70796</v>
      </c>
      <c r="AK259">
        <v>26237</v>
      </c>
      <c r="AL259">
        <v>8108695</v>
      </c>
      <c r="AM259">
        <v>0</v>
      </c>
      <c r="AN259">
        <v>3246268</v>
      </c>
      <c r="AO259">
        <v>7806</v>
      </c>
      <c r="AP259">
        <v>537895</v>
      </c>
      <c r="AQ259">
        <v>125347</v>
      </c>
      <c r="AR259">
        <v>26806</v>
      </c>
      <c r="AS259">
        <v>110231</v>
      </c>
      <c r="AT259">
        <v>122974</v>
      </c>
      <c r="AU259">
        <v>154033357</v>
      </c>
      <c r="AV259">
        <v>27971295</v>
      </c>
      <c r="AW259">
        <v>638266</v>
      </c>
      <c r="AX259">
        <v>24572</v>
      </c>
      <c r="AY259">
        <v>40009</v>
      </c>
      <c r="AZ259">
        <v>11313</v>
      </c>
      <c r="BA259">
        <v>7333</v>
      </c>
      <c r="BB259">
        <v>992489</v>
      </c>
      <c r="BC259">
        <v>8042</v>
      </c>
      <c r="BD259">
        <v>35992</v>
      </c>
      <c r="BE259">
        <v>2935</v>
      </c>
      <c r="BF259">
        <v>4534797</v>
      </c>
      <c r="BG259">
        <v>0</v>
      </c>
      <c r="BH259">
        <v>4882068</v>
      </c>
      <c r="BI259">
        <v>631595</v>
      </c>
      <c r="BJ259">
        <v>79074</v>
      </c>
      <c r="BK259">
        <v>25810</v>
      </c>
      <c r="BL259">
        <v>3267367</v>
      </c>
      <c r="BM259">
        <v>3642744</v>
      </c>
      <c r="BN259">
        <v>559692</v>
      </c>
      <c r="BO259">
        <v>13704317</v>
      </c>
      <c r="BP259">
        <v>43308822</v>
      </c>
      <c r="BQ259">
        <v>13007</v>
      </c>
      <c r="BR259">
        <v>1871602</v>
      </c>
      <c r="BS259">
        <v>344175</v>
      </c>
      <c r="BT259">
        <v>1286434</v>
      </c>
      <c r="BU259">
        <v>311601</v>
      </c>
      <c r="BV259">
        <v>98009</v>
      </c>
      <c r="BW259">
        <v>29981433</v>
      </c>
      <c r="BX259">
        <v>631807</v>
      </c>
      <c r="BY259">
        <v>15370253</v>
      </c>
      <c r="BZ259">
        <v>17218</v>
      </c>
      <c r="CA259">
        <v>24533211</v>
      </c>
      <c r="CB259">
        <v>63752</v>
      </c>
      <c r="CC259">
        <v>928436</v>
      </c>
      <c r="CD259">
        <v>16980262</v>
      </c>
    </row>
    <row r="260" spans="1:82" x14ac:dyDescent="0.3">
      <c r="A260" s="155">
        <v>9003</v>
      </c>
      <c r="B260" t="s">
        <v>956</v>
      </c>
      <c r="C260" t="s">
        <v>957</v>
      </c>
      <c r="D260">
        <v>3697979</v>
      </c>
      <c r="E260">
        <v>2967718</v>
      </c>
      <c r="F260">
        <v>532561</v>
      </c>
      <c r="G260">
        <v>549964</v>
      </c>
      <c r="H260">
        <v>196655</v>
      </c>
      <c r="I260">
        <v>21347</v>
      </c>
      <c r="J260">
        <v>965</v>
      </c>
      <c r="K260">
        <v>89710</v>
      </c>
      <c r="L260">
        <v>10558655</v>
      </c>
      <c r="M260">
        <v>316430164</v>
      </c>
      <c r="N260">
        <v>380329</v>
      </c>
      <c r="O260">
        <v>11108412</v>
      </c>
      <c r="P260">
        <v>10690</v>
      </c>
      <c r="Q260">
        <v>18379925</v>
      </c>
      <c r="R260">
        <v>37250</v>
      </c>
      <c r="S260">
        <v>227939</v>
      </c>
      <c r="T260">
        <v>2592045</v>
      </c>
      <c r="U260">
        <v>272827</v>
      </c>
      <c r="V260">
        <v>5570084</v>
      </c>
      <c r="W260">
        <v>1510982</v>
      </c>
      <c r="X260">
        <v>253795</v>
      </c>
      <c r="Y260">
        <v>1378454</v>
      </c>
      <c r="Z260">
        <v>61279892</v>
      </c>
      <c r="AA260">
        <v>639640</v>
      </c>
      <c r="AB260">
        <v>164547</v>
      </c>
      <c r="AC260">
        <v>82039700</v>
      </c>
      <c r="AD260">
        <v>1014765</v>
      </c>
      <c r="AE260">
        <v>456835</v>
      </c>
      <c r="AF260">
        <v>201650201</v>
      </c>
      <c r="AG260">
        <v>8949</v>
      </c>
      <c r="AH260">
        <v>103057</v>
      </c>
      <c r="AI260">
        <v>5732704</v>
      </c>
      <c r="AJ260">
        <v>311441</v>
      </c>
      <c r="AK260">
        <v>26237</v>
      </c>
      <c r="AL260">
        <v>58737736</v>
      </c>
      <c r="AM260">
        <v>35849</v>
      </c>
      <c r="AN260">
        <v>23282127</v>
      </c>
      <c r="AO260">
        <v>7806</v>
      </c>
      <c r="AP260">
        <v>2303777</v>
      </c>
      <c r="AQ260">
        <v>1128715</v>
      </c>
      <c r="AR260">
        <v>26806</v>
      </c>
      <c r="AS260">
        <v>1812315</v>
      </c>
      <c r="AT260">
        <v>314435</v>
      </c>
      <c r="AU260">
        <v>721469845</v>
      </c>
      <c r="AV260">
        <v>197030845</v>
      </c>
      <c r="AW260">
        <v>2105964</v>
      </c>
      <c r="AX260">
        <v>86123</v>
      </c>
      <c r="AY260">
        <v>76353</v>
      </c>
      <c r="AZ260">
        <v>17537</v>
      </c>
      <c r="BA260">
        <v>44563</v>
      </c>
      <c r="BB260">
        <v>11356379</v>
      </c>
      <c r="BC260">
        <v>8042</v>
      </c>
      <c r="BD260">
        <v>38902</v>
      </c>
      <c r="BE260">
        <v>2935</v>
      </c>
      <c r="BF260">
        <v>23578648</v>
      </c>
      <c r="BG260">
        <v>0</v>
      </c>
      <c r="BH260">
        <v>17884284</v>
      </c>
      <c r="BI260">
        <v>8384824</v>
      </c>
      <c r="BJ260">
        <v>86472</v>
      </c>
      <c r="BK260">
        <v>25810</v>
      </c>
      <c r="BL260">
        <v>24067077</v>
      </c>
      <c r="BM260">
        <v>35290459</v>
      </c>
      <c r="BN260">
        <v>1321470</v>
      </c>
      <c r="BO260">
        <v>112716794</v>
      </c>
      <c r="BP260">
        <v>232340351</v>
      </c>
      <c r="BQ260">
        <v>112176</v>
      </c>
      <c r="BR260">
        <v>23387025</v>
      </c>
      <c r="BS260">
        <v>461812</v>
      </c>
      <c r="BT260">
        <v>9245837</v>
      </c>
      <c r="BU260">
        <v>354229</v>
      </c>
      <c r="BV260">
        <v>98009</v>
      </c>
      <c r="BW260">
        <v>40282509</v>
      </c>
      <c r="BX260">
        <v>2369785</v>
      </c>
      <c r="BY260">
        <v>114202847</v>
      </c>
      <c r="BZ260">
        <v>62751</v>
      </c>
      <c r="CA260">
        <v>44948815</v>
      </c>
      <c r="CB260">
        <v>182671</v>
      </c>
      <c r="CC260">
        <v>2800663</v>
      </c>
      <c r="CD260">
        <v>73609524</v>
      </c>
    </row>
    <row r="261" spans="1:82" x14ac:dyDescent="0.3">
      <c r="A261" s="155">
        <v>9004</v>
      </c>
      <c r="B261" t="s">
        <v>958</v>
      </c>
      <c r="C261" t="s">
        <v>959</v>
      </c>
      <c r="D261" t="s">
        <v>960</v>
      </c>
      <c r="E261" t="s">
        <v>960</v>
      </c>
      <c r="F261" t="s">
        <v>349</v>
      </c>
      <c r="G261" t="s">
        <v>960</v>
      </c>
      <c r="H261" t="s">
        <v>960</v>
      </c>
      <c r="I261" t="s">
        <v>960</v>
      </c>
      <c r="J261" t="s">
        <v>349</v>
      </c>
      <c r="K261" t="s">
        <v>960</v>
      </c>
      <c r="L261" t="s">
        <v>960</v>
      </c>
      <c r="M261" t="s">
        <v>349</v>
      </c>
      <c r="N261" t="s">
        <v>349</v>
      </c>
      <c r="O261" t="s">
        <v>349</v>
      </c>
      <c r="P261" t="s">
        <v>960</v>
      </c>
      <c r="Q261" t="s">
        <v>960</v>
      </c>
      <c r="R261" t="s">
        <v>349</v>
      </c>
      <c r="S261" t="s">
        <v>960</v>
      </c>
      <c r="T261" t="s">
        <v>960</v>
      </c>
      <c r="U261" t="s">
        <v>960</v>
      </c>
      <c r="V261" t="s">
        <v>960</v>
      </c>
      <c r="W261" t="s">
        <v>349</v>
      </c>
      <c r="X261" t="s">
        <v>960</v>
      </c>
      <c r="Y261" t="s">
        <v>960</v>
      </c>
      <c r="Z261" t="s">
        <v>960</v>
      </c>
      <c r="AA261" t="s">
        <v>960</v>
      </c>
      <c r="AB261" t="s">
        <v>960</v>
      </c>
      <c r="AC261" t="s">
        <v>349</v>
      </c>
      <c r="AD261" t="s">
        <v>349</v>
      </c>
      <c r="AE261" t="s">
        <v>349</v>
      </c>
      <c r="AF261" t="s">
        <v>960</v>
      </c>
      <c r="AG261" t="s">
        <v>349</v>
      </c>
      <c r="AH261" t="s">
        <v>960</v>
      </c>
      <c r="AI261" t="s">
        <v>960</v>
      </c>
      <c r="AJ261" t="s">
        <v>960</v>
      </c>
      <c r="AK261" t="s">
        <v>960</v>
      </c>
      <c r="AL261" t="s">
        <v>960</v>
      </c>
      <c r="AM261" t="s">
        <v>960</v>
      </c>
      <c r="AN261" t="s">
        <v>960</v>
      </c>
      <c r="AO261" t="s">
        <v>349</v>
      </c>
      <c r="AP261" t="s">
        <v>960</v>
      </c>
      <c r="AQ261" t="s">
        <v>349</v>
      </c>
      <c r="AR261" t="s">
        <v>349</v>
      </c>
      <c r="AS261" t="s">
        <v>960</v>
      </c>
      <c r="AT261" t="s">
        <v>960</v>
      </c>
      <c r="AU261" t="s">
        <v>960</v>
      </c>
      <c r="AV261" t="s">
        <v>960</v>
      </c>
      <c r="AW261" t="s">
        <v>960</v>
      </c>
      <c r="AX261" t="s">
        <v>960</v>
      </c>
      <c r="AY261" t="s">
        <v>960</v>
      </c>
      <c r="AZ261" t="s">
        <v>960</v>
      </c>
      <c r="BA261" t="s">
        <v>960</v>
      </c>
      <c r="BB261" t="s">
        <v>960</v>
      </c>
      <c r="BC261" t="s">
        <v>960</v>
      </c>
      <c r="BD261" t="s">
        <v>349</v>
      </c>
      <c r="BE261" t="s">
        <v>960</v>
      </c>
      <c r="BF261" t="s">
        <v>960</v>
      </c>
      <c r="BG261" t="s">
        <v>349</v>
      </c>
      <c r="BH261" t="s">
        <v>960</v>
      </c>
      <c r="BI261" t="s">
        <v>960</v>
      </c>
      <c r="BJ261" t="s">
        <v>349</v>
      </c>
      <c r="BK261" t="s">
        <v>349</v>
      </c>
      <c r="BL261" t="s">
        <v>960</v>
      </c>
      <c r="BM261" t="s">
        <v>960</v>
      </c>
      <c r="BN261" t="s">
        <v>960</v>
      </c>
      <c r="BO261" t="s">
        <v>960</v>
      </c>
      <c r="BP261" t="s">
        <v>960</v>
      </c>
      <c r="BQ261" t="s">
        <v>960</v>
      </c>
      <c r="BR261" t="s">
        <v>960</v>
      </c>
      <c r="BS261" t="s">
        <v>349</v>
      </c>
      <c r="BT261" t="s">
        <v>960</v>
      </c>
      <c r="BU261" t="s">
        <v>960</v>
      </c>
      <c r="BV261" t="s">
        <v>960</v>
      </c>
      <c r="BW261" t="s">
        <v>960</v>
      </c>
      <c r="BX261" t="s">
        <v>349</v>
      </c>
      <c r="BY261" t="s">
        <v>960</v>
      </c>
      <c r="BZ261" t="s">
        <v>960</v>
      </c>
      <c r="CA261" t="s">
        <v>349</v>
      </c>
      <c r="CB261" t="s">
        <v>960</v>
      </c>
      <c r="CC261" t="s">
        <v>349</v>
      </c>
      <c r="CD261" t="s">
        <v>349</v>
      </c>
    </row>
    <row r="262" spans="1:82" x14ac:dyDescent="0.3">
      <c r="A262" s="155">
        <v>9005</v>
      </c>
      <c r="B262" t="s">
        <v>961</v>
      </c>
      <c r="C262" t="s">
        <v>962</v>
      </c>
      <c r="D262">
        <v>481125</v>
      </c>
      <c r="E262">
        <v>797474</v>
      </c>
      <c r="F262">
        <v>430872</v>
      </c>
      <c r="G262">
        <v>1129406</v>
      </c>
      <c r="H262">
        <v>925333</v>
      </c>
      <c r="I262">
        <v>172856</v>
      </c>
      <c r="J262">
        <v>104070</v>
      </c>
      <c r="K262">
        <v>394157</v>
      </c>
      <c r="L262">
        <v>1993840</v>
      </c>
      <c r="M262">
        <v>50621421</v>
      </c>
      <c r="N262">
        <v>3313379</v>
      </c>
      <c r="O262">
        <v>6344254</v>
      </c>
      <c r="P262">
        <v>140999</v>
      </c>
      <c r="Q262">
        <v>1367807</v>
      </c>
      <c r="R262">
        <v>162878</v>
      </c>
      <c r="S262">
        <v>600467</v>
      </c>
      <c r="T262">
        <v>1400866</v>
      </c>
      <c r="U262">
        <v>1494776</v>
      </c>
      <c r="V262">
        <v>4961805</v>
      </c>
      <c r="W262">
        <v>488211</v>
      </c>
      <c r="X262">
        <v>612042</v>
      </c>
      <c r="Y262">
        <v>218574</v>
      </c>
      <c r="Z262">
        <v>30027609</v>
      </c>
      <c r="AA262">
        <v>8375980</v>
      </c>
      <c r="AB262">
        <v>1191854</v>
      </c>
      <c r="AC262">
        <v>26048507</v>
      </c>
      <c r="AD262">
        <v>654099</v>
      </c>
      <c r="AE262">
        <v>677768</v>
      </c>
      <c r="AF262">
        <v>36017074</v>
      </c>
      <c r="AG262">
        <v>1109650</v>
      </c>
      <c r="AH262">
        <v>257939</v>
      </c>
      <c r="AI262">
        <v>2573474</v>
      </c>
      <c r="AJ262">
        <v>1254912</v>
      </c>
      <c r="AK262">
        <v>66756</v>
      </c>
      <c r="AL262">
        <v>13353330</v>
      </c>
      <c r="AM262">
        <v>605421</v>
      </c>
      <c r="AN262">
        <v>11281459</v>
      </c>
      <c r="AO262">
        <v>105734</v>
      </c>
      <c r="AP262">
        <v>5698653</v>
      </c>
      <c r="AQ262">
        <v>2332082</v>
      </c>
      <c r="AR262">
        <v>268499</v>
      </c>
      <c r="AS262">
        <v>1915493</v>
      </c>
      <c r="AT262">
        <v>961847</v>
      </c>
      <c r="AU262">
        <v>59131523</v>
      </c>
      <c r="AV262">
        <v>22277308</v>
      </c>
      <c r="AW262">
        <v>1277966</v>
      </c>
      <c r="AX262">
        <v>173124</v>
      </c>
      <c r="AY262">
        <v>436781</v>
      </c>
      <c r="AZ262">
        <v>165063</v>
      </c>
      <c r="BA262">
        <v>831896</v>
      </c>
      <c r="BB262">
        <v>4538322</v>
      </c>
      <c r="BC262">
        <v>1300633</v>
      </c>
      <c r="BD262">
        <v>228613</v>
      </c>
      <c r="BE262">
        <v>132033</v>
      </c>
      <c r="BF262">
        <v>6034701</v>
      </c>
      <c r="BG262">
        <v>41309</v>
      </c>
      <c r="BH262">
        <v>12746129</v>
      </c>
      <c r="BI262">
        <v>1025005</v>
      </c>
      <c r="BJ262">
        <v>457087</v>
      </c>
      <c r="BK262">
        <v>511269</v>
      </c>
      <c r="BL262">
        <v>9136144</v>
      </c>
      <c r="BM262">
        <v>5777008</v>
      </c>
      <c r="BN262">
        <v>1352547</v>
      </c>
      <c r="BO262">
        <v>26722281</v>
      </c>
      <c r="BP262">
        <v>36507114</v>
      </c>
      <c r="BQ262">
        <v>310144</v>
      </c>
      <c r="BR262">
        <v>3808756</v>
      </c>
      <c r="BS262">
        <v>1817780</v>
      </c>
      <c r="BT262">
        <v>8969118</v>
      </c>
      <c r="BU262">
        <v>262263</v>
      </c>
      <c r="BV262">
        <v>482897</v>
      </c>
      <c r="BW262">
        <v>3944992</v>
      </c>
      <c r="BX262">
        <v>2444359</v>
      </c>
      <c r="BY262">
        <v>29161627</v>
      </c>
      <c r="BZ262">
        <v>137888</v>
      </c>
      <c r="CA262">
        <v>6344327</v>
      </c>
      <c r="CB262">
        <v>784826</v>
      </c>
      <c r="CC262">
        <v>2241214</v>
      </c>
      <c r="CD262">
        <v>42212302</v>
      </c>
    </row>
    <row r="263" spans="1:82" x14ac:dyDescent="0.3">
      <c r="A263" s="155">
        <v>9006</v>
      </c>
      <c r="B263" t="s">
        <v>963</v>
      </c>
      <c r="C263" t="s">
        <v>964</v>
      </c>
      <c r="D263">
        <v>1523792</v>
      </c>
      <c r="E263">
        <v>2390770</v>
      </c>
      <c r="F263">
        <v>433161</v>
      </c>
      <c r="G263">
        <v>965638</v>
      </c>
      <c r="H263">
        <v>649283</v>
      </c>
      <c r="I263">
        <v>193292</v>
      </c>
      <c r="J263">
        <v>49995</v>
      </c>
      <c r="K263">
        <v>167526</v>
      </c>
      <c r="L263">
        <v>5716019</v>
      </c>
      <c r="M263">
        <v>182484019</v>
      </c>
      <c r="N263">
        <v>1999857</v>
      </c>
      <c r="O263">
        <v>7441783</v>
      </c>
      <c r="P263">
        <v>144006</v>
      </c>
      <c r="Q263">
        <v>20933409</v>
      </c>
      <c r="R263">
        <v>79235</v>
      </c>
      <c r="S263">
        <v>310568</v>
      </c>
      <c r="T263">
        <v>2107155</v>
      </c>
      <c r="U263">
        <v>1218829</v>
      </c>
      <c r="V263">
        <v>4751278</v>
      </c>
      <c r="W263">
        <v>3003070</v>
      </c>
      <c r="X263">
        <v>665518</v>
      </c>
      <c r="Y263">
        <v>963821</v>
      </c>
      <c r="Z263">
        <v>44115313</v>
      </c>
      <c r="AA263">
        <v>772387</v>
      </c>
      <c r="AB263">
        <v>570814</v>
      </c>
      <c r="AC263">
        <v>45463302</v>
      </c>
      <c r="AD263">
        <v>1065199</v>
      </c>
      <c r="AE263">
        <v>638643</v>
      </c>
      <c r="AF263">
        <v>75622027</v>
      </c>
      <c r="AG263">
        <v>142752</v>
      </c>
      <c r="AH263">
        <v>253156</v>
      </c>
      <c r="AI263">
        <v>8333559</v>
      </c>
      <c r="AJ263">
        <v>896236</v>
      </c>
      <c r="AK263">
        <v>80455</v>
      </c>
      <c r="AL263">
        <v>31807267</v>
      </c>
      <c r="AM263">
        <v>133806</v>
      </c>
      <c r="AN263">
        <v>14741665</v>
      </c>
      <c r="AO263">
        <v>48092</v>
      </c>
      <c r="AP263">
        <v>4183223</v>
      </c>
      <c r="AQ263">
        <v>2783940</v>
      </c>
      <c r="AR263">
        <v>46594</v>
      </c>
      <c r="AS263">
        <v>1535547</v>
      </c>
      <c r="AT263">
        <v>167446</v>
      </c>
      <c r="AU263">
        <v>328169286</v>
      </c>
      <c r="AV263">
        <v>91591787</v>
      </c>
      <c r="AW263">
        <v>1812626</v>
      </c>
      <c r="AX263">
        <v>453407</v>
      </c>
      <c r="AY263">
        <v>329794</v>
      </c>
      <c r="AZ263">
        <v>316989</v>
      </c>
      <c r="BA263">
        <v>440666</v>
      </c>
      <c r="BB263">
        <v>5481365</v>
      </c>
      <c r="BC263">
        <v>223906</v>
      </c>
      <c r="BD263">
        <v>111944</v>
      </c>
      <c r="BE263">
        <v>49574</v>
      </c>
      <c r="BF263">
        <v>21028944</v>
      </c>
      <c r="BG263">
        <v>27990</v>
      </c>
      <c r="BH263">
        <v>13264802</v>
      </c>
      <c r="BI263">
        <v>2350002</v>
      </c>
      <c r="BJ263">
        <v>212377</v>
      </c>
      <c r="BK263">
        <v>102309</v>
      </c>
      <c r="BL263">
        <v>16947771</v>
      </c>
      <c r="BM263">
        <v>19649654</v>
      </c>
      <c r="BN263">
        <v>1587775</v>
      </c>
      <c r="BO263">
        <v>68029382</v>
      </c>
      <c r="BP263">
        <v>120979515</v>
      </c>
      <c r="BQ263">
        <v>400047</v>
      </c>
      <c r="BR263">
        <v>6062810</v>
      </c>
      <c r="BS263">
        <v>2303136</v>
      </c>
      <c r="BT263">
        <v>12398113</v>
      </c>
      <c r="BU263">
        <v>186347</v>
      </c>
      <c r="BV263">
        <v>314738</v>
      </c>
      <c r="BW263">
        <v>3579012</v>
      </c>
      <c r="BX263">
        <v>4136531</v>
      </c>
      <c r="BY263">
        <v>47775241</v>
      </c>
      <c r="BZ263">
        <v>560600</v>
      </c>
      <c r="CA263">
        <v>14898529</v>
      </c>
      <c r="CB263">
        <v>497430</v>
      </c>
      <c r="CC263">
        <v>3264450</v>
      </c>
      <c r="CD263">
        <v>54983627</v>
      </c>
    </row>
    <row r="264" spans="1:82" x14ac:dyDescent="0.3">
      <c r="A264" s="155">
        <v>9007</v>
      </c>
      <c r="B264" t="s">
        <v>1531</v>
      </c>
      <c r="C264" t="s">
        <v>965</v>
      </c>
      <c r="D264">
        <v>0.31569999999999998</v>
      </c>
      <c r="E264">
        <v>0.33360000000000001</v>
      </c>
      <c r="F264">
        <v>0.99470000000000003</v>
      </c>
      <c r="G264">
        <v>1.1696</v>
      </c>
      <c r="H264">
        <v>1.4252</v>
      </c>
      <c r="I264">
        <v>0.89429999999999998</v>
      </c>
      <c r="J264">
        <v>2.0815999999999999</v>
      </c>
      <c r="K264">
        <v>2.3527999999999998</v>
      </c>
      <c r="L264">
        <v>0.3488</v>
      </c>
      <c r="M264">
        <v>0.27739999999999998</v>
      </c>
      <c r="N264">
        <v>1.6568000000000001</v>
      </c>
      <c r="O264">
        <v>0.85250000000000004</v>
      </c>
      <c r="P264">
        <v>0.97909999999999997</v>
      </c>
      <c r="Q264">
        <v>6.5299999999999997E-2</v>
      </c>
      <c r="R264">
        <v>2.0556000000000001</v>
      </c>
      <c r="S264">
        <v>1.9334</v>
      </c>
      <c r="T264">
        <v>0.66479999999999995</v>
      </c>
      <c r="U264">
        <v>1.2263999999999999</v>
      </c>
      <c r="V264">
        <v>1.0443</v>
      </c>
      <c r="W264">
        <v>0.16259999999999999</v>
      </c>
      <c r="X264">
        <v>0.91959999999999997</v>
      </c>
      <c r="Y264">
        <v>0.2268</v>
      </c>
      <c r="Z264">
        <v>0.68069999999999997</v>
      </c>
      <c r="AA264">
        <v>10.8443</v>
      </c>
      <c r="AB264">
        <v>2.0880000000000001</v>
      </c>
      <c r="AC264">
        <v>0.57299999999999995</v>
      </c>
      <c r="AD264">
        <v>0.61409999999999998</v>
      </c>
      <c r="AE264">
        <v>1.0612999999999999</v>
      </c>
      <c r="AF264">
        <v>0.4763</v>
      </c>
      <c r="AG264">
        <v>7.7732999999999999</v>
      </c>
      <c r="AH264">
        <v>1.0188999999999999</v>
      </c>
      <c r="AI264">
        <v>0.30880000000000002</v>
      </c>
      <c r="AJ264">
        <v>1.4001999999999999</v>
      </c>
      <c r="AK264">
        <v>0.82969999999999999</v>
      </c>
      <c r="AL264">
        <v>0.41980000000000001</v>
      </c>
      <c r="AM264">
        <v>4.5246000000000004</v>
      </c>
      <c r="AN264">
        <v>0.76529999999999998</v>
      </c>
      <c r="AO264">
        <v>2.1985999999999999</v>
      </c>
      <c r="AP264">
        <v>1.3623000000000001</v>
      </c>
      <c r="AQ264">
        <v>0.8377</v>
      </c>
      <c r="AR264">
        <v>5.7625000000000002</v>
      </c>
      <c r="AS264">
        <v>1.2474000000000001</v>
      </c>
      <c r="AT264">
        <v>5.7442000000000002</v>
      </c>
      <c r="AU264">
        <v>0.1802</v>
      </c>
      <c r="AV264">
        <v>0.2432</v>
      </c>
      <c r="AW264">
        <v>0.70499999999999996</v>
      </c>
      <c r="AX264">
        <v>0.38179999999999997</v>
      </c>
      <c r="AY264">
        <v>1.3244</v>
      </c>
      <c r="AZ264">
        <v>0.52070000000000005</v>
      </c>
      <c r="BA264">
        <v>1.8877999999999999</v>
      </c>
      <c r="BB264">
        <v>0.82799999999999996</v>
      </c>
      <c r="BC264">
        <v>5.8087999999999997</v>
      </c>
      <c r="BD264">
        <v>2.0421999999999998</v>
      </c>
      <c r="BE264">
        <v>2.6634000000000002</v>
      </c>
      <c r="BF264">
        <v>0.28699999999999998</v>
      </c>
      <c r="BG264">
        <v>1.4758</v>
      </c>
      <c r="BH264">
        <v>0.96089999999999998</v>
      </c>
      <c r="BI264">
        <v>0.43619999999999998</v>
      </c>
      <c r="BJ264">
        <v>2.1522000000000001</v>
      </c>
      <c r="BK264">
        <v>4.9973000000000001</v>
      </c>
      <c r="BL264">
        <v>0.53910000000000002</v>
      </c>
      <c r="BM264">
        <v>0.29399999999999998</v>
      </c>
      <c r="BN264">
        <v>0.85189999999999999</v>
      </c>
      <c r="BO264">
        <v>0.39279999999999998</v>
      </c>
      <c r="BP264">
        <v>0.30180000000000001</v>
      </c>
      <c r="BQ264">
        <v>0.77529999999999999</v>
      </c>
      <c r="BR264">
        <v>0.62819999999999998</v>
      </c>
      <c r="BS264">
        <v>0.7893</v>
      </c>
      <c r="BT264">
        <v>0.72340000000000004</v>
      </c>
      <c r="BU264">
        <v>1.4074</v>
      </c>
      <c r="BV264">
        <v>1.5343</v>
      </c>
      <c r="BW264">
        <v>1.1023000000000001</v>
      </c>
      <c r="BX264">
        <v>0.59089999999999998</v>
      </c>
      <c r="BY264">
        <v>0.61040000000000005</v>
      </c>
      <c r="BZ264">
        <v>0.246</v>
      </c>
      <c r="CA264">
        <v>0.42580000000000001</v>
      </c>
      <c r="CB264">
        <v>1.5778000000000001</v>
      </c>
      <c r="CC264">
        <v>0.68659999999999999</v>
      </c>
      <c r="CD264">
        <v>0.76770000000000005</v>
      </c>
    </row>
    <row r="265" spans="1:82" x14ac:dyDescent="0.3">
      <c r="A265" s="155">
        <v>9008</v>
      </c>
      <c r="B265" t="s">
        <v>966</v>
      </c>
      <c r="C265" t="s">
        <v>349</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row>
    <row r="266" spans="1:82" x14ac:dyDescent="0.3">
      <c r="A266" s="155">
        <v>9010</v>
      </c>
      <c r="B266" t="s">
        <v>967</v>
      </c>
      <c r="C266" t="s">
        <v>968</v>
      </c>
      <c r="D266">
        <v>3.14</v>
      </c>
      <c r="E266">
        <v>1.68</v>
      </c>
      <c r="F266">
        <v>0</v>
      </c>
      <c r="G266">
        <v>31.08</v>
      </c>
      <c r="H266">
        <v>4.0999999999999996</v>
      </c>
      <c r="I266">
        <v>4.07</v>
      </c>
      <c r="J266">
        <v>0</v>
      </c>
      <c r="K266">
        <v>3.09</v>
      </c>
      <c r="L266">
        <v>6.17</v>
      </c>
      <c r="M266">
        <v>0</v>
      </c>
      <c r="N266">
        <v>0</v>
      </c>
      <c r="O266">
        <v>0</v>
      </c>
      <c r="P266">
        <v>2.79</v>
      </c>
      <c r="Q266">
        <v>37.97</v>
      </c>
      <c r="R266">
        <v>0</v>
      </c>
      <c r="S266">
        <v>11.43</v>
      </c>
      <c r="T266">
        <v>3.54</v>
      </c>
      <c r="U266">
        <v>34.43</v>
      </c>
      <c r="V266">
        <v>8.1</v>
      </c>
      <c r="W266">
        <v>0</v>
      </c>
      <c r="X266">
        <v>6.47</v>
      </c>
      <c r="Y266">
        <v>7.12</v>
      </c>
      <c r="Z266">
        <v>10.08</v>
      </c>
      <c r="AA266">
        <v>0</v>
      </c>
      <c r="AB266">
        <v>32.1</v>
      </c>
      <c r="AC266">
        <v>0</v>
      </c>
      <c r="AD266">
        <v>0</v>
      </c>
      <c r="AE266">
        <v>0</v>
      </c>
      <c r="AF266">
        <v>2.96</v>
      </c>
      <c r="AG266">
        <v>0.2</v>
      </c>
      <c r="AH266">
        <v>4.21</v>
      </c>
      <c r="AI266">
        <v>4.91</v>
      </c>
      <c r="AJ266">
        <v>0</v>
      </c>
      <c r="AK266">
        <v>29.22</v>
      </c>
      <c r="AL266">
        <v>4.5</v>
      </c>
      <c r="AM266">
        <v>6.13</v>
      </c>
      <c r="AN266">
        <v>15.18</v>
      </c>
      <c r="AO266">
        <v>0</v>
      </c>
      <c r="AP266">
        <v>12.48</v>
      </c>
      <c r="AQ266">
        <v>0</v>
      </c>
      <c r="AR266">
        <v>0</v>
      </c>
      <c r="AS266">
        <v>4.3099999999999996</v>
      </c>
      <c r="AT266">
        <v>38.56</v>
      </c>
      <c r="AU266">
        <v>2.25</v>
      </c>
      <c r="AV266">
        <v>1.44</v>
      </c>
      <c r="AW266">
        <v>3.87</v>
      </c>
      <c r="AX266">
        <v>1.1599999999999999</v>
      </c>
      <c r="AY266">
        <v>1.42</v>
      </c>
      <c r="AZ266">
        <v>-0.5</v>
      </c>
      <c r="BA266">
        <v>-0.46</v>
      </c>
      <c r="BB266">
        <v>44.03</v>
      </c>
      <c r="BC266">
        <v>43.17</v>
      </c>
      <c r="BD266">
        <v>0</v>
      </c>
      <c r="BE266">
        <v>8.64</v>
      </c>
      <c r="BF266">
        <v>5.78</v>
      </c>
      <c r="BG266">
        <v>0</v>
      </c>
      <c r="BH266">
        <v>9.44</v>
      </c>
      <c r="BI266">
        <v>4.29</v>
      </c>
      <c r="BJ266">
        <v>0</v>
      </c>
      <c r="BK266">
        <v>0</v>
      </c>
      <c r="BL266">
        <v>14.63</v>
      </c>
      <c r="BM266">
        <v>2.34</v>
      </c>
      <c r="BN266">
        <v>2.11</v>
      </c>
      <c r="BO266">
        <v>7.72</v>
      </c>
      <c r="BP266">
        <v>3.5</v>
      </c>
      <c r="BQ266">
        <v>13.29</v>
      </c>
      <c r="BR266">
        <v>6.89</v>
      </c>
      <c r="BS266">
        <v>0</v>
      </c>
      <c r="BT266">
        <v>3.58</v>
      </c>
      <c r="BU266">
        <v>82.93</v>
      </c>
      <c r="BV266">
        <v>1.32</v>
      </c>
      <c r="BW266">
        <v>6.43</v>
      </c>
      <c r="BX266">
        <v>0</v>
      </c>
      <c r="BY266">
        <v>8.43</v>
      </c>
      <c r="BZ266">
        <v>3.52</v>
      </c>
      <c r="CA266">
        <v>0</v>
      </c>
      <c r="CB266">
        <v>32.17</v>
      </c>
      <c r="CC266">
        <v>0</v>
      </c>
      <c r="CD266">
        <v>0</v>
      </c>
    </row>
    <row r="267" spans="1:82" x14ac:dyDescent="0.3">
      <c r="A267" s="155">
        <v>9011</v>
      </c>
      <c r="B267" t="s">
        <v>1665</v>
      </c>
      <c r="C267" t="s">
        <v>969</v>
      </c>
      <c r="D267">
        <v>96955</v>
      </c>
      <c r="E267">
        <v>-78656</v>
      </c>
      <c r="F267">
        <v>0</v>
      </c>
      <c r="G267">
        <v>61203</v>
      </c>
      <c r="H267">
        <v>58902</v>
      </c>
      <c r="I267">
        <v>-6576</v>
      </c>
      <c r="J267">
        <v>0</v>
      </c>
      <c r="K267">
        <v>11240</v>
      </c>
      <c r="L267">
        <v>830953</v>
      </c>
      <c r="M267">
        <v>0</v>
      </c>
      <c r="N267">
        <v>0</v>
      </c>
      <c r="O267">
        <v>0</v>
      </c>
      <c r="P267">
        <v>519057</v>
      </c>
      <c r="Q267">
        <v>1490328</v>
      </c>
      <c r="R267">
        <v>0</v>
      </c>
      <c r="S267">
        <v>44577</v>
      </c>
      <c r="T267">
        <v>239502</v>
      </c>
      <c r="U267">
        <v>166008</v>
      </c>
      <c r="V267">
        <v>1013252</v>
      </c>
      <c r="W267">
        <v>0</v>
      </c>
      <c r="X267">
        <v>52233</v>
      </c>
      <c r="Y267">
        <v>386985</v>
      </c>
      <c r="Z267">
        <v>12826905</v>
      </c>
      <c r="AA267">
        <v>-15883</v>
      </c>
      <c r="AB267">
        <v>109598</v>
      </c>
      <c r="AC267">
        <v>0</v>
      </c>
      <c r="AD267">
        <v>0</v>
      </c>
      <c r="AE267">
        <v>0</v>
      </c>
      <c r="AF267">
        <v>7190026</v>
      </c>
      <c r="AG267">
        <v>-255</v>
      </c>
      <c r="AH267">
        <v>-51333</v>
      </c>
      <c r="AI267">
        <v>-267786</v>
      </c>
      <c r="AJ267">
        <v>9820</v>
      </c>
      <c r="AK267">
        <v>32128</v>
      </c>
      <c r="AL267">
        <v>5156159</v>
      </c>
      <c r="AM267">
        <v>-135520</v>
      </c>
      <c r="AN267">
        <v>1259802</v>
      </c>
      <c r="AO267">
        <v>0</v>
      </c>
      <c r="AP267">
        <v>179723</v>
      </c>
      <c r="AQ267">
        <v>0</v>
      </c>
      <c r="AR267">
        <v>0</v>
      </c>
      <c r="AS267">
        <v>223846</v>
      </c>
      <c r="AT267">
        <v>173059</v>
      </c>
      <c r="AU267">
        <v>40271589</v>
      </c>
      <c r="AV267">
        <v>11910784</v>
      </c>
      <c r="AW267">
        <v>-41182</v>
      </c>
      <c r="AX267">
        <v>-49619</v>
      </c>
      <c r="AY267">
        <v>-50766</v>
      </c>
      <c r="AZ267">
        <v>55413</v>
      </c>
      <c r="BA267">
        <v>-95164</v>
      </c>
      <c r="BB267">
        <v>141911</v>
      </c>
      <c r="BC267">
        <v>-67829</v>
      </c>
      <c r="BD267">
        <v>0</v>
      </c>
      <c r="BE267">
        <v>38048</v>
      </c>
      <c r="BF267">
        <v>1689799</v>
      </c>
      <c r="BG267">
        <v>0</v>
      </c>
      <c r="BH267">
        <v>1217204</v>
      </c>
      <c r="BI267">
        <v>49722</v>
      </c>
      <c r="BJ267">
        <v>0</v>
      </c>
      <c r="BK267">
        <v>0</v>
      </c>
      <c r="BL267">
        <v>4072810</v>
      </c>
      <c r="BM267">
        <v>1343824</v>
      </c>
      <c r="BN267">
        <v>244413</v>
      </c>
      <c r="BO267">
        <v>9602662</v>
      </c>
      <c r="BP267">
        <v>9827545</v>
      </c>
      <c r="BQ267">
        <v>5243</v>
      </c>
      <c r="BR267">
        <v>435227</v>
      </c>
      <c r="BS267">
        <v>0</v>
      </c>
      <c r="BT267">
        <v>1877000</v>
      </c>
      <c r="BU267">
        <v>6718</v>
      </c>
      <c r="BV267">
        <v>-31742</v>
      </c>
      <c r="BW267">
        <v>274774</v>
      </c>
      <c r="BX267">
        <v>0</v>
      </c>
      <c r="BY267">
        <v>987664</v>
      </c>
      <c r="BZ267">
        <v>-54806</v>
      </c>
      <c r="CA267">
        <v>0</v>
      </c>
      <c r="CB267">
        <v>-6057</v>
      </c>
      <c r="CC267">
        <v>0</v>
      </c>
      <c r="CD267">
        <v>0</v>
      </c>
    </row>
    <row r="268" spans="1:82" x14ac:dyDescent="0.3">
      <c r="A268" s="155">
        <v>9012</v>
      </c>
      <c r="B268" t="s">
        <v>1666</v>
      </c>
      <c r="C268" t="s">
        <v>969</v>
      </c>
      <c r="D268">
        <v>0.97489999999999999</v>
      </c>
      <c r="E268">
        <v>0.13930000000000001</v>
      </c>
      <c r="F268">
        <v>0</v>
      </c>
      <c r="G268">
        <v>1.5444</v>
      </c>
      <c r="H268">
        <v>1.7948999999999999</v>
      </c>
      <c r="I268">
        <v>0.79630000000000001</v>
      </c>
      <c r="J268">
        <v>0</v>
      </c>
      <c r="K268">
        <v>0.4405</v>
      </c>
      <c r="L268">
        <v>0.8931</v>
      </c>
      <c r="M268">
        <v>0</v>
      </c>
      <c r="N268">
        <v>0</v>
      </c>
      <c r="O268">
        <v>0</v>
      </c>
      <c r="P268">
        <v>0.52510000000000001</v>
      </c>
      <c r="Q268">
        <v>1.5723</v>
      </c>
      <c r="R268">
        <v>0</v>
      </c>
      <c r="S268">
        <v>1.4763999999999999</v>
      </c>
      <c r="T268">
        <v>0.91169999999999995</v>
      </c>
      <c r="U268">
        <v>6.3925000000000001</v>
      </c>
      <c r="V268">
        <v>2.0185</v>
      </c>
      <c r="W268">
        <v>0</v>
      </c>
      <c r="X268">
        <v>0.44619999999999999</v>
      </c>
      <c r="Y268">
        <v>0.3931</v>
      </c>
      <c r="Z268">
        <v>1.9685999999999999</v>
      </c>
      <c r="AA268">
        <v>0.38200000000000001</v>
      </c>
      <c r="AB268">
        <v>3.1657999999999999</v>
      </c>
      <c r="AC268">
        <v>0</v>
      </c>
      <c r="AD268">
        <v>0</v>
      </c>
      <c r="AE268">
        <v>0</v>
      </c>
      <c r="AF268">
        <v>0.65820000000000001</v>
      </c>
      <c r="AG268">
        <v>0</v>
      </c>
      <c r="AH268">
        <v>0.47910000000000003</v>
      </c>
      <c r="AI268">
        <v>0.75009999999999999</v>
      </c>
      <c r="AJ268">
        <v>7.0172999999999996</v>
      </c>
      <c r="AK268">
        <v>0.90269999999999995</v>
      </c>
      <c r="AL268">
        <v>1.016</v>
      </c>
      <c r="AM268">
        <v>1.3245</v>
      </c>
      <c r="AN268">
        <v>1.1862999999999999</v>
      </c>
      <c r="AO268">
        <v>0</v>
      </c>
      <c r="AP268">
        <v>1.0439000000000001</v>
      </c>
      <c r="AQ268">
        <v>0</v>
      </c>
      <c r="AR268">
        <v>0</v>
      </c>
      <c r="AS268">
        <v>1.3391</v>
      </c>
      <c r="AT268">
        <v>0.38850000000000001</v>
      </c>
      <c r="AU268">
        <v>0.44290000000000002</v>
      </c>
      <c r="AV268">
        <v>1.0205</v>
      </c>
      <c r="AW268">
        <v>0.56879999999999997</v>
      </c>
      <c r="AX268">
        <v>8.1900000000000001E-2</v>
      </c>
      <c r="AY268">
        <v>9.0499999999999997E-2</v>
      </c>
      <c r="AZ268">
        <v>0</v>
      </c>
      <c r="BA268">
        <v>1.1514</v>
      </c>
      <c r="BB268">
        <v>1.454</v>
      </c>
      <c r="BC268">
        <v>2.0638000000000001</v>
      </c>
      <c r="BD268">
        <v>0</v>
      </c>
      <c r="BE268">
        <v>1.4254</v>
      </c>
      <c r="BF268">
        <v>1.0714999999999999</v>
      </c>
      <c r="BG268">
        <v>0</v>
      </c>
      <c r="BH268">
        <v>1.7366999999999999</v>
      </c>
      <c r="BI268">
        <v>0.4</v>
      </c>
      <c r="BJ268">
        <v>0</v>
      </c>
      <c r="BK268">
        <v>0</v>
      </c>
      <c r="BL268">
        <v>2.6322999999999999</v>
      </c>
      <c r="BM268">
        <v>0.30359999999999998</v>
      </c>
      <c r="BN268">
        <v>0.4042</v>
      </c>
      <c r="BO268">
        <v>1.3573999999999999</v>
      </c>
      <c r="BP268">
        <v>0.82030000000000003</v>
      </c>
      <c r="BQ268">
        <v>1.2996000000000001</v>
      </c>
      <c r="BR268">
        <v>1.1136999999999999</v>
      </c>
      <c r="BS268">
        <v>0</v>
      </c>
      <c r="BT268">
        <v>1.3018000000000001</v>
      </c>
      <c r="BU268">
        <v>1.4928999999999999</v>
      </c>
      <c r="BV268">
        <v>0.1268</v>
      </c>
      <c r="BW268">
        <v>0.50639999999999996</v>
      </c>
      <c r="BX268">
        <v>0</v>
      </c>
      <c r="BY268">
        <v>2.774</v>
      </c>
      <c r="BZ268">
        <v>2.2301000000000002</v>
      </c>
      <c r="CA268">
        <v>0</v>
      </c>
      <c r="CB268">
        <v>0.71960000000000002</v>
      </c>
      <c r="CC268">
        <v>0</v>
      </c>
      <c r="CD268">
        <v>0</v>
      </c>
    </row>
    <row r="269" spans="1:82" x14ac:dyDescent="0.3">
      <c r="A269" s="155">
        <v>9013</v>
      </c>
      <c r="B269" t="s">
        <v>970</v>
      </c>
      <c r="C269" t="s">
        <v>971</v>
      </c>
      <c r="D269">
        <v>3.14</v>
      </c>
      <c r="E269">
        <v>1.68</v>
      </c>
      <c r="F269">
        <v>0</v>
      </c>
      <c r="G269">
        <v>31.08</v>
      </c>
      <c r="H269">
        <v>4.0999999999999996</v>
      </c>
      <c r="I269">
        <v>4.07</v>
      </c>
      <c r="J269">
        <v>0</v>
      </c>
      <c r="K269">
        <v>3.09</v>
      </c>
      <c r="L269">
        <v>6.17</v>
      </c>
      <c r="M269">
        <v>0</v>
      </c>
      <c r="N269">
        <v>0</v>
      </c>
      <c r="O269">
        <v>0</v>
      </c>
      <c r="P269">
        <v>2.79</v>
      </c>
      <c r="Q269">
        <v>37.97</v>
      </c>
      <c r="R269">
        <v>0</v>
      </c>
      <c r="S269">
        <v>11.43</v>
      </c>
      <c r="T269">
        <v>3.54</v>
      </c>
      <c r="U269">
        <v>34.43</v>
      </c>
      <c r="V269">
        <v>8.1</v>
      </c>
      <c r="W269">
        <v>0</v>
      </c>
      <c r="X269">
        <v>6.47</v>
      </c>
      <c r="Y269">
        <v>7.12</v>
      </c>
      <c r="Z269">
        <v>10.08</v>
      </c>
      <c r="AA269">
        <v>0</v>
      </c>
      <c r="AB269">
        <v>32.1</v>
      </c>
      <c r="AC269">
        <v>0</v>
      </c>
      <c r="AD269">
        <v>0</v>
      </c>
      <c r="AE269">
        <v>0</v>
      </c>
      <c r="AF269">
        <v>2.96</v>
      </c>
      <c r="AG269">
        <v>0.2</v>
      </c>
      <c r="AH269">
        <v>4.21</v>
      </c>
      <c r="AI269">
        <v>4.91</v>
      </c>
      <c r="AJ269">
        <v>0</v>
      </c>
      <c r="AK269">
        <v>29.22</v>
      </c>
      <c r="AL269">
        <v>4.5</v>
      </c>
      <c r="AM269">
        <v>6.13</v>
      </c>
      <c r="AN269">
        <v>15.18</v>
      </c>
      <c r="AO269">
        <v>0</v>
      </c>
      <c r="AP269">
        <v>12.48</v>
      </c>
      <c r="AQ269">
        <v>0</v>
      </c>
      <c r="AR269">
        <v>0</v>
      </c>
      <c r="AS269">
        <v>4.3099999999999996</v>
      </c>
      <c r="AT269">
        <v>38.56</v>
      </c>
      <c r="AU269">
        <v>2.25</v>
      </c>
      <c r="AV269">
        <v>1.44</v>
      </c>
      <c r="AW269">
        <v>3.87</v>
      </c>
      <c r="AX269">
        <v>1.1599999999999999</v>
      </c>
      <c r="AY269">
        <v>1.42</v>
      </c>
      <c r="AZ269">
        <v>-0.5</v>
      </c>
      <c r="BA269">
        <v>-0.46</v>
      </c>
      <c r="BB269">
        <v>44.03</v>
      </c>
      <c r="BC269">
        <v>43.17</v>
      </c>
      <c r="BD269">
        <v>0</v>
      </c>
      <c r="BE269">
        <v>8.64</v>
      </c>
      <c r="BF269">
        <v>5.78</v>
      </c>
      <c r="BG269">
        <v>0</v>
      </c>
      <c r="BH269">
        <v>9.44</v>
      </c>
      <c r="BI269">
        <v>4.29</v>
      </c>
      <c r="BJ269">
        <v>0</v>
      </c>
      <c r="BK269">
        <v>0</v>
      </c>
      <c r="BL269">
        <v>14.63</v>
      </c>
      <c r="BM269">
        <v>2.34</v>
      </c>
      <c r="BN269">
        <v>2.11</v>
      </c>
      <c r="BO269">
        <v>7.72</v>
      </c>
      <c r="BP269">
        <v>3.5</v>
      </c>
      <c r="BQ269">
        <v>13.29</v>
      </c>
      <c r="BR269">
        <v>6.89</v>
      </c>
      <c r="BS269">
        <v>0</v>
      </c>
      <c r="BT269">
        <v>3.58</v>
      </c>
      <c r="BU269">
        <v>82.93</v>
      </c>
      <c r="BV269">
        <v>1.32</v>
      </c>
      <c r="BW269">
        <v>6.43</v>
      </c>
      <c r="BX269">
        <v>0</v>
      </c>
      <c r="BY269">
        <v>8.43</v>
      </c>
      <c r="BZ269">
        <v>3.52</v>
      </c>
      <c r="CA269">
        <v>0</v>
      </c>
      <c r="CB269">
        <v>32.17</v>
      </c>
      <c r="CC269">
        <v>0</v>
      </c>
      <c r="CD269">
        <v>0</v>
      </c>
    </row>
    <row r="270" spans="1:82" x14ac:dyDescent="0.3">
      <c r="A270" s="155">
        <v>9014</v>
      </c>
      <c r="B270" t="s">
        <v>972</v>
      </c>
      <c r="C270" t="s">
        <v>973</v>
      </c>
      <c r="D270">
        <v>0</v>
      </c>
      <c r="E270">
        <v>0</v>
      </c>
      <c r="F270">
        <v>0</v>
      </c>
      <c r="G270">
        <v>0</v>
      </c>
      <c r="H270">
        <v>0</v>
      </c>
      <c r="I270">
        <v>0</v>
      </c>
      <c r="J270">
        <v>0</v>
      </c>
      <c r="K270">
        <v>0</v>
      </c>
      <c r="L270">
        <v>3.12</v>
      </c>
      <c r="M270">
        <v>8.74</v>
      </c>
      <c r="N270">
        <v>0</v>
      </c>
      <c r="O270">
        <v>0</v>
      </c>
      <c r="P270">
        <v>0</v>
      </c>
      <c r="Q270">
        <v>28.79</v>
      </c>
      <c r="R270">
        <v>0</v>
      </c>
      <c r="S270">
        <v>30.46</v>
      </c>
      <c r="T270">
        <v>0</v>
      </c>
      <c r="U270">
        <v>0</v>
      </c>
      <c r="V270">
        <v>0</v>
      </c>
      <c r="W270">
        <v>0</v>
      </c>
      <c r="X270">
        <v>0</v>
      </c>
      <c r="Y270">
        <v>4.95</v>
      </c>
      <c r="Z270">
        <v>0</v>
      </c>
      <c r="AA270">
        <v>0</v>
      </c>
      <c r="AB270">
        <v>0</v>
      </c>
      <c r="AC270">
        <v>0</v>
      </c>
      <c r="AD270">
        <v>0</v>
      </c>
      <c r="AE270">
        <v>0</v>
      </c>
      <c r="AF270">
        <v>7.88</v>
      </c>
      <c r="AG270">
        <v>0</v>
      </c>
      <c r="AH270">
        <v>0</v>
      </c>
      <c r="AI270">
        <v>0</v>
      </c>
      <c r="AJ270">
        <v>0</v>
      </c>
      <c r="AK270">
        <v>0</v>
      </c>
      <c r="AL270">
        <v>0</v>
      </c>
      <c r="AM270">
        <v>0</v>
      </c>
      <c r="AN270">
        <v>0</v>
      </c>
      <c r="AO270">
        <v>0</v>
      </c>
      <c r="AP270">
        <v>14.8</v>
      </c>
      <c r="AQ270">
        <v>0</v>
      </c>
      <c r="AR270">
        <v>0</v>
      </c>
      <c r="AS270">
        <v>0</v>
      </c>
      <c r="AT270">
        <v>0</v>
      </c>
      <c r="AU270">
        <v>0</v>
      </c>
      <c r="AV270">
        <v>1.97</v>
      </c>
      <c r="AW270">
        <v>0</v>
      </c>
      <c r="AX270">
        <v>0</v>
      </c>
      <c r="AY270">
        <v>0</v>
      </c>
      <c r="AZ270">
        <v>0</v>
      </c>
      <c r="BA270">
        <v>13.96</v>
      </c>
      <c r="BB270">
        <v>0</v>
      </c>
      <c r="BC270">
        <v>0</v>
      </c>
      <c r="BD270">
        <v>0</v>
      </c>
      <c r="BE270">
        <v>0</v>
      </c>
      <c r="BF270">
        <v>0</v>
      </c>
      <c r="BG270">
        <v>0</v>
      </c>
      <c r="BH270">
        <v>0</v>
      </c>
      <c r="BI270">
        <v>0</v>
      </c>
      <c r="BJ270">
        <v>0</v>
      </c>
      <c r="BK270">
        <v>0</v>
      </c>
      <c r="BL270">
        <v>0</v>
      </c>
      <c r="BM270">
        <v>0</v>
      </c>
      <c r="BN270">
        <v>3.73</v>
      </c>
      <c r="BO270">
        <v>0</v>
      </c>
      <c r="BP270">
        <v>5.87</v>
      </c>
      <c r="BQ270">
        <v>0</v>
      </c>
      <c r="BR270">
        <v>35.89</v>
      </c>
      <c r="BS270">
        <v>0</v>
      </c>
      <c r="BT270">
        <v>0</v>
      </c>
      <c r="BU270">
        <v>10.75</v>
      </c>
      <c r="BV270">
        <v>0</v>
      </c>
      <c r="BW270">
        <v>0</v>
      </c>
      <c r="BX270">
        <v>0</v>
      </c>
      <c r="BY270">
        <v>0</v>
      </c>
      <c r="BZ270">
        <v>3.32</v>
      </c>
      <c r="CA270">
        <v>0</v>
      </c>
      <c r="CB270">
        <v>0</v>
      </c>
      <c r="CC270">
        <v>0</v>
      </c>
      <c r="CD270">
        <v>3.91</v>
      </c>
    </row>
    <row r="271" spans="1:82" x14ac:dyDescent="0.3">
      <c r="A271" s="155">
        <v>9015</v>
      </c>
      <c r="B271" t="s">
        <v>1667</v>
      </c>
      <c r="C271" t="s">
        <v>349</v>
      </c>
      <c r="D271">
        <v>0</v>
      </c>
      <c r="E271">
        <v>0</v>
      </c>
      <c r="F271">
        <v>0</v>
      </c>
      <c r="G271">
        <v>0</v>
      </c>
      <c r="H271">
        <v>0</v>
      </c>
      <c r="I271">
        <v>0</v>
      </c>
      <c r="J271">
        <v>0</v>
      </c>
      <c r="K271">
        <v>0</v>
      </c>
      <c r="L271">
        <v>467854</v>
      </c>
      <c r="M271">
        <v>32228957</v>
      </c>
      <c r="N271">
        <v>0</v>
      </c>
      <c r="O271">
        <v>0</v>
      </c>
      <c r="P271">
        <v>0</v>
      </c>
      <c r="Q271">
        <v>5117833</v>
      </c>
      <c r="R271">
        <v>0</v>
      </c>
      <c r="S271">
        <v>63369</v>
      </c>
      <c r="T271">
        <v>0</v>
      </c>
      <c r="U271">
        <v>0</v>
      </c>
      <c r="V271">
        <v>0</v>
      </c>
      <c r="W271">
        <v>0</v>
      </c>
      <c r="X271">
        <v>0</v>
      </c>
      <c r="Y271">
        <v>-791</v>
      </c>
      <c r="Z271">
        <v>0</v>
      </c>
      <c r="AA271">
        <v>0</v>
      </c>
      <c r="AB271">
        <v>0</v>
      </c>
      <c r="AC271">
        <v>0</v>
      </c>
      <c r="AD271">
        <v>0</v>
      </c>
      <c r="AE271">
        <v>0</v>
      </c>
      <c r="AF271">
        <v>10725623</v>
      </c>
      <c r="AG271">
        <v>0</v>
      </c>
      <c r="AH271">
        <v>0</v>
      </c>
      <c r="AI271">
        <v>0</v>
      </c>
      <c r="AJ271">
        <v>0</v>
      </c>
      <c r="AK271">
        <v>0</v>
      </c>
      <c r="AL271">
        <v>0</v>
      </c>
      <c r="AM271">
        <v>0</v>
      </c>
      <c r="AN271">
        <v>0</v>
      </c>
      <c r="AO271">
        <v>0</v>
      </c>
      <c r="AP271">
        <v>550870</v>
      </c>
      <c r="AQ271">
        <v>0</v>
      </c>
      <c r="AR271">
        <v>0</v>
      </c>
      <c r="AS271">
        <v>0</v>
      </c>
      <c r="AT271">
        <v>0</v>
      </c>
      <c r="AU271">
        <v>0</v>
      </c>
      <c r="AV271">
        <v>15902275</v>
      </c>
      <c r="AW271">
        <v>0</v>
      </c>
      <c r="AX271">
        <v>0</v>
      </c>
      <c r="AY271">
        <v>0</v>
      </c>
      <c r="AZ271">
        <v>0</v>
      </c>
      <c r="BA271">
        <v>-7180</v>
      </c>
      <c r="BB271">
        <v>0</v>
      </c>
      <c r="BC271">
        <v>0</v>
      </c>
      <c r="BD271">
        <v>0</v>
      </c>
      <c r="BE271">
        <v>0</v>
      </c>
      <c r="BF271">
        <v>0</v>
      </c>
      <c r="BG271">
        <v>0</v>
      </c>
      <c r="BH271">
        <v>0</v>
      </c>
      <c r="BI271">
        <v>0</v>
      </c>
      <c r="BJ271">
        <v>0</v>
      </c>
      <c r="BK271">
        <v>0</v>
      </c>
      <c r="BL271">
        <v>0</v>
      </c>
      <c r="BM271">
        <v>0</v>
      </c>
      <c r="BN271">
        <v>18208</v>
      </c>
      <c r="BO271">
        <v>0</v>
      </c>
      <c r="BP271">
        <v>7149508</v>
      </c>
      <c r="BQ271">
        <v>0</v>
      </c>
      <c r="BR271">
        <v>2292716</v>
      </c>
      <c r="BS271">
        <v>0</v>
      </c>
      <c r="BT271">
        <v>0</v>
      </c>
      <c r="BU271">
        <v>-9495</v>
      </c>
      <c r="BV271">
        <v>0</v>
      </c>
      <c r="BW271">
        <v>0</v>
      </c>
      <c r="BX271">
        <v>0</v>
      </c>
      <c r="BY271">
        <v>0</v>
      </c>
      <c r="BZ271">
        <v>-710</v>
      </c>
      <c r="CA271">
        <v>0</v>
      </c>
      <c r="CB271">
        <v>0</v>
      </c>
      <c r="CC271">
        <v>0</v>
      </c>
      <c r="CD271">
        <v>3141847</v>
      </c>
    </row>
    <row r="272" spans="1:82" x14ac:dyDescent="0.3">
      <c r="A272" s="155">
        <v>9016</v>
      </c>
      <c r="B272" t="s">
        <v>1668</v>
      </c>
      <c r="C272" t="s">
        <v>349</v>
      </c>
      <c r="D272">
        <v>0</v>
      </c>
      <c r="E272">
        <v>0</v>
      </c>
      <c r="F272">
        <v>0</v>
      </c>
      <c r="G272">
        <v>0</v>
      </c>
      <c r="H272">
        <v>0</v>
      </c>
      <c r="I272">
        <v>0</v>
      </c>
      <c r="J272">
        <v>0</v>
      </c>
      <c r="K272">
        <v>0</v>
      </c>
      <c r="L272">
        <v>3.9100000000000003E-2</v>
      </c>
      <c r="M272">
        <v>0.41570000000000001</v>
      </c>
      <c r="N272">
        <v>0</v>
      </c>
      <c r="O272">
        <v>0</v>
      </c>
      <c r="P272">
        <v>0</v>
      </c>
      <c r="Q272">
        <v>0.18679999999999999</v>
      </c>
      <c r="R272">
        <v>0</v>
      </c>
      <c r="S272">
        <v>1.6654</v>
      </c>
      <c r="T272">
        <v>0</v>
      </c>
      <c r="U272">
        <v>0</v>
      </c>
      <c r="V272">
        <v>0</v>
      </c>
      <c r="W272">
        <v>0</v>
      </c>
      <c r="X272">
        <v>0</v>
      </c>
      <c r="Y272">
        <v>0.30470000000000003</v>
      </c>
      <c r="Z272">
        <v>0</v>
      </c>
      <c r="AA272">
        <v>0</v>
      </c>
      <c r="AB272">
        <v>0</v>
      </c>
      <c r="AC272">
        <v>0</v>
      </c>
      <c r="AD272">
        <v>0</v>
      </c>
      <c r="AE272">
        <v>0</v>
      </c>
      <c r="AF272">
        <v>0.75160000000000005</v>
      </c>
      <c r="AG272">
        <v>0</v>
      </c>
      <c r="AH272">
        <v>0</v>
      </c>
      <c r="AI272">
        <v>0</v>
      </c>
      <c r="AJ272">
        <v>0</v>
      </c>
      <c r="AK272">
        <v>0</v>
      </c>
      <c r="AL272">
        <v>0</v>
      </c>
      <c r="AM272">
        <v>0</v>
      </c>
      <c r="AN272">
        <v>0</v>
      </c>
      <c r="AO272">
        <v>0</v>
      </c>
      <c r="AP272">
        <v>0.99060000000000004</v>
      </c>
      <c r="AQ272">
        <v>0</v>
      </c>
      <c r="AR272">
        <v>0</v>
      </c>
      <c r="AS272">
        <v>0</v>
      </c>
      <c r="AT272">
        <v>0</v>
      </c>
      <c r="AU272">
        <v>0</v>
      </c>
      <c r="AV272">
        <v>0.42830000000000001</v>
      </c>
      <c r="AW272">
        <v>0</v>
      </c>
      <c r="AX272">
        <v>0</v>
      </c>
      <c r="AY272">
        <v>0</v>
      </c>
      <c r="AZ272">
        <v>0</v>
      </c>
      <c r="BA272">
        <v>1.494</v>
      </c>
      <c r="BB272">
        <v>0</v>
      </c>
      <c r="BC272">
        <v>0</v>
      </c>
      <c r="BD272">
        <v>0</v>
      </c>
      <c r="BE272">
        <v>0</v>
      </c>
      <c r="BF272">
        <v>0</v>
      </c>
      <c r="BG272">
        <v>0</v>
      </c>
      <c r="BH272">
        <v>0</v>
      </c>
      <c r="BI272">
        <v>0</v>
      </c>
      <c r="BJ272">
        <v>0</v>
      </c>
      <c r="BK272">
        <v>0</v>
      </c>
      <c r="BL272">
        <v>0</v>
      </c>
      <c r="BM272">
        <v>0</v>
      </c>
      <c r="BN272">
        <v>0.28210000000000002</v>
      </c>
      <c r="BO272">
        <v>0</v>
      </c>
      <c r="BP272">
        <v>0.52490000000000003</v>
      </c>
      <c r="BQ272">
        <v>0</v>
      </c>
      <c r="BR272">
        <v>2.1486999999999998</v>
      </c>
      <c r="BS272">
        <v>0</v>
      </c>
      <c r="BT272">
        <v>0</v>
      </c>
      <c r="BU272">
        <v>0.69440000000000002</v>
      </c>
      <c r="BV272">
        <v>0</v>
      </c>
      <c r="BW272">
        <v>0</v>
      </c>
      <c r="BX272">
        <v>0</v>
      </c>
      <c r="BY272">
        <v>0</v>
      </c>
      <c r="BZ272">
        <v>0.32040000000000002</v>
      </c>
      <c r="CA272">
        <v>0</v>
      </c>
      <c r="CB272">
        <v>0</v>
      </c>
      <c r="CC272">
        <v>0</v>
      </c>
      <c r="CD272">
        <v>0.25650000000000001</v>
      </c>
    </row>
    <row r="273" spans="1:82" x14ac:dyDescent="0.3">
      <c r="A273" s="155">
        <v>9017</v>
      </c>
      <c r="B273" t="s">
        <v>974</v>
      </c>
      <c r="C273" t="s">
        <v>975</v>
      </c>
      <c r="D273">
        <v>0</v>
      </c>
      <c r="E273">
        <v>0</v>
      </c>
      <c r="F273">
        <v>0</v>
      </c>
      <c r="G273">
        <v>0</v>
      </c>
      <c r="H273">
        <v>0</v>
      </c>
      <c r="I273">
        <v>0</v>
      </c>
      <c r="J273">
        <v>0</v>
      </c>
      <c r="K273">
        <v>0</v>
      </c>
      <c r="L273">
        <v>3.12</v>
      </c>
      <c r="M273">
        <v>8.74</v>
      </c>
      <c r="N273">
        <v>0</v>
      </c>
      <c r="O273">
        <v>0</v>
      </c>
      <c r="P273">
        <v>0</v>
      </c>
      <c r="Q273">
        <v>28.79</v>
      </c>
      <c r="R273">
        <v>0</v>
      </c>
      <c r="S273">
        <v>30.46</v>
      </c>
      <c r="T273">
        <v>0</v>
      </c>
      <c r="U273">
        <v>0</v>
      </c>
      <c r="V273">
        <v>0</v>
      </c>
      <c r="W273">
        <v>0</v>
      </c>
      <c r="X273">
        <v>0</v>
      </c>
      <c r="Y273">
        <v>4.95</v>
      </c>
      <c r="Z273">
        <v>0</v>
      </c>
      <c r="AA273">
        <v>0</v>
      </c>
      <c r="AB273">
        <v>0</v>
      </c>
      <c r="AC273">
        <v>0</v>
      </c>
      <c r="AD273">
        <v>0</v>
      </c>
      <c r="AE273">
        <v>0</v>
      </c>
      <c r="AF273">
        <v>7.88</v>
      </c>
      <c r="AG273">
        <v>0</v>
      </c>
      <c r="AH273">
        <v>0</v>
      </c>
      <c r="AI273">
        <v>0</v>
      </c>
      <c r="AJ273">
        <v>0</v>
      </c>
      <c r="AK273">
        <v>0</v>
      </c>
      <c r="AL273">
        <v>0</v>
      </c>
      <c r="AM273">
        <v>0</v>
      </c>
      <c r="AN273">
        <v>0</v>
      </c>
      <c r="AO273">
        <v>0</v>
      </c>
      <c r="AP273">
        <v>14.8</v>
      </c>
      <c r="AQ273">
        <v>0</v>
      </c>
      <c r="AR273">
        <v>0</v>
      </c>
      <c r="AS273">
        <v>0</v>
      </c>
      <c r="AT273">
        <v>0</v>
      </c>
      <c r="AU273">
        <v>0</v>
      </c>
      <c r="AV273">
        <v>1.97</v>
      </c>
      <c r="AW273">
        <v>0</v>
      </c>
      <c r="AX273">
        <v>0</v>
      </c>
      <c r="AY273">
        <v>0</v>
      </c>
      <c r="AZ273">
        <v>0</v>
      </c>
      <c r="BA273">
        <v>13.96</v>
      </c>
      <c r="BB273">
        <v>0</v>
      </c>
      <c r="BC273">
        <v>0</v>
      </c>
      <c r="BD273">
        <v>0</v>
      </c>
      <c r="BE273">
        <v>0</v>
      </c>
      <c r="BF273">
        <v>0</v>
      </c>
      <c r="BG273">
        <v>0</v>
      </c>
      <c r="BH273">
        <v>0</v>
      </c>
      <c r="BI273">
        <v>0</v>
      </c>
      <c r="BJ273">
        <v>0</v>
      </c>
      <c r="BK273">
        <v>0</v>
      </c>
      <c r="BL273">
        <v>0</v>
      </c>
      <c r="BM273">
        <v>0</v>
      </c>
      <c r="BN273">
        <v>3.73</v>
      </c>
      <c r="BO273">
        <v>0</v>
      </c>
      <c r="BP273">
        <v>5.87</v>
      </c>
      <c r="BQ273">
        <v>0</v>
      </c>
      <c r="BR273">
        <v>35.89</v>
      </c>
      <c r="BS273">
        <v>0</v>
      </c>
      <c r="BT273">
        <v>0</v>
      </c>
      <c r="BU273">
        <v>10.75</v>
      </c>
      <c r="BV273">
        <v>0</v>
      </c>
      <c r="BW273">
        <v>0</v>
      </c>
      <c r="BX273">
        <v>0</v>
      </c>
      <c r="BY273">
        <v>0</v>
      </c>
      <c r="BZ273">
        <v>3.32</v>
      </c>
      <c r="CA273">
        <v>0</v>
      </c>
      <c r="CB273">
        <v>0</v>
      </c>
      <c r="CC273">
        <v>0</v>
      </c>
      <c r="CD273">
        <v>3.91</v>
      </c>
    </row>
    <row r="274" spans="1:82" x14ac:dyDescent="0.3">
      <c r="A274" s="155">
        <v>9018</v>
      </c>
      <c r="B274" t="s">
        <v>976</v>
      </c>
      <c r="C274" t="s">
        <v>977</v>
      </c>
      <c r="D274">
        <v>337266</v>
      </c>
      <c r="E274">
        <v>50755</v>
      </c>
      <c r="F274" s="574">
        <v>90221</v>
      </c>
      <c r="G274">
        <v>213183</v>
      </c>
      <c r="H274">
        <v>132180</v>
      </c>
      <c r="I274">
        <v>3400</v>
      </c>
      <c r="J274">
        <v>965</v>
      </c>
      <c r="K274">
        <v>79</v>
      </c>
      <c r="L274">
        <v>958610</v>
      </c>
      <c r="M274">
        <v>66762124</v>
      </c>
      <c r="N274">
        <v>55738</v>
      </c>
      <c r="O274">
        <v>2000079</v>
      </c>
      <c r="P274">
        <v>10690</v>
      </c>
      <c r="Q274">
        <v>6831521</v>
      </c>
      <c r="R274">
        <v>37250</v>
      </c>
      <c r="S274">
        <v>84115</v>
      </c>
      <c r="T274">
        <v>1368969</v>
      </c>
      <c r="U274">
        <v>35383</v>
      </c>
      <c r="V274">
        <v>1033886</v>
      </c>
      <c r="W274">
        <v>243292</v>
      </c>
      <c r="X274">
        <v>18454</v>
      </c>
      <c r="Y274">
        <v>109355</v>
      </c>
      <c r="Z274">
        <v>11182074</v>
      </c>
      <c r="AA274">
        <v>639640</v>
      </c>
      <c r="AB274">
        <v>125098</v>
      </c>
      <c r="AC274">
        <v>8809496</v>
      </c>
      <c r="AD274">
        <v>853269</v>
      </c>
      <c r="AE274">
        <v>187986</v>
      </c>
      <c r="AF274">
        <v>35248534</v>
      </c>
      <c r="AG274">
        <v>9281</v>
      </c>
      <c r="AH274">
        <v>3695</v>
      </c>
      <c r="AI274">
        <v>520684</v>
      </c>
      <c r="AJ274">
        <v>48515</v>
      </c>
      <c r="AK274">
        <v>3450</v>
      </c>
      <c r="AL274">
        <v>7786964</v>
      </c>
      <c r="AM274">
        <v>0</v>
      </c>
      <c r="AN274">
        <v>3023028</v>
      </c>
      <c r="AO274">
        <v>7806</v>
      </c>
      <c r="AP274">
        <v>454273</v>
      </c>
      <c r="AQ274">
        <v>125347</v>
      </c>
      <c r="AR274">
        <v>968</v>
      </c>
      <c r="AS274">
        <v>110231</v>
      </c>
      <c r="AT274">
        <v>169325</v>
      </c>
      <c r="AU274">
        <v>145194223</v>
      </c>
      <c r="AV274">
        <v>24035159</v>
      </c>
      <c r="AW274">
        <v>620266</v>
      </c>
      <c r="AX274">
        <v>24572</v>
      </c>
      <c r="AY274">
        <v>7825</v>
      </c>
      <c r="AZ274">
        <v>11313</v>
      </c>
      <c r="BA274">
        <v>6955</v>
      </c>
      <c r="BB274">
        <v>913679</v>
      </c>
      <c r="BC274">
        <v>8042</v>
      </c>
      <c r="BD274">
        <v>6100</v>
      </c>
      <c r="BE274">
        <v>2935</v>
      </c>
      <c r="BF274">
        <v>1869321</v>
      </c>
      <c r="BG274">
        <v>0</v>
      </c>
      <c r="BH274">
        <v>4837097</v>
      </c>
      <c r="BI274">
        <v>573209</v>
      </c>
      <c r="BJ274">
        <v>14592</v>
      </c>
      <c r="BK274">
        <v>25810</v>
      </c>
      <c r="BL274">
        <v>3091974</v>
      </c>
      <c r="BM274">
        <v>3642744</v>
      </c>
      <c r="BN274">
        <v>554825</v>
      </c>
      <c r="BO274">
        <v>12149124</v>
      </c>
      <c r="BP274">
        <v>33133108</v>
      </c>
      <c r="BQ274">
        <v>13007</v>
      </c>
      <c r="BR274">
        <v>1721602</v>
      </c>
      <c r="BS274">
        <v>49041</v>
      </c>
      <c r="BT274">
        <v>1127434</v>
      </c>
      <c r="BU274">
        <v>7206</v>
      </c>
      <c r="BV274">
        <v>6862</v>
      </c>
      <c r="BW274">
        <v>29958065</v>
      </c>
      <c r="BX274">
        <v>608047</v>
      </c>
      <c r="BY274">
        <v>14315270</v>
      </c>
      <c r="BZ274">
        <v>201804</v>
      </c>
      <c r="CA274">
        <v>24056542</v>
      </c>
      <c r="CB274">
        <v>109188</v>
      </c>
      <c r="CC274">
        <v>902436</v>
      </c>
      <c r="CD274">
        <v>15847939</v>
      </c>
    </row>
    <row r="275" spans="1:82" x14ac:dyDescent="0.3">
      <c r="A275" s="155">
        <v>9019</v>
      </c>
      <c r="B275" t="s">
        <v>978</v>
      </c>
      <c r="C275" t="s">
        <v>979</v>
      </c>
      <c r="D275">
        <v>337266</v>
      </c>
      <c r="E275">
        <v>50755</v>
      </c>
      <c r="F275">
        <v>90221</v>
      </c>
      <c r="G275">
        <v>213183</v>
      </c>
      <c r="H275">
        <v>132180</v>
      </c>
      <c r="I275">
        <v>3400</v>
      </c>
      <c r="J275">
        <v>965</v>
      </c>
      <c r="K275">
        <v>79</v>
      </c>
      <c r="L275">
        <v>958610</v>
      </c>
      <c r="M275">
        <v>66762124</v>
      </c>
      <c r="N275">
        <v>55738</v>
      </c>
      <c r="O275">
        <v>2000079</v>
      </c>
      <c r="P275">
        <v>10690</v>
      </c>
      <c r="Q275">
        <v>6831521</v>
      </c>
      <c r="R275">
        <v>37250</v>
      </c>
      <c r="S275">
        <v>84115</v>
      </c>
      <c r="T275">
        <v>1368969</v>
      </c>
      <c r="U275">
        <v>35383</v>
      </c>
      <c r="V275">
        <v>1033886</v>
      </c>
      <c r="W275">
        <v>243292</v>
      </c>
      <c r="X275">
        <v>18454</v>
      </c>
      <c r="Y275">
        <v>109355</v>
      </c>
      <c r="Z275">
        <v>11182074</v>
      </c>
      <c r="AA275">
        <v>639640</v>
      </c>
      <c r="AB275">
        <v>125098</v>
      </c>
      <c r="AC275">
        <v>8809496</v>
      </c>
      <c r="AD275">
        <v>853269</v>
      </c>
      <c r="AE275">
        <v>187986</v>
      </c>
      <c r="AF275">
        <v>35248534</v>
      </c>
      <c r="AG275">
        <v>9281</v>
      </c>
      <c r="AH275">
        <v>3695</v>
      </c>
      <c r="AI275">
        <v>520684</v>
      </c>
      <c r="AJ275">
        <v>48515</v>
      </c>
      <c r="AK275">
        <v>3450</v>
      </c>
      <c r="AL275">
        <v>7786964</v>
      </c>
      <c r="AM275">
        <v>0</v>
      </c>
      <c r="AN275">
        <v>3023028</v>
      </c>
      <c r="AO275">
        <v>7806</v>
      </c>
      <c r="AP275">
        <v>454273</v>
      </c>
      <c r="AQ275">
        <v>125347</v>
      </c>
      <c r="AR275">
        <v>968</v>
      </c>
      <c r="AS275">
        <v>110231</v>
      </c>
      <c r="AT275">
        <v>169325</v>
      </c>
      <c r="AU275">
        <v>145194223</v>
      </c>
      <c r="AV275">
        <v>24035159</v>
      </c>
      <c r="AW275">
        <v>620266</v>
      </c>
      <c r="AX275">
        <v>24572</v>
      </c>
      <c r="AY275">
        <v>7825</v>
      </c>
      <c r="AZ275">
        <v>11313</v>
      </c>
      <c r="BA275">
        <v>6955</v>
      </c>
      <c r="BB275">
        <v>913679</v>
      </c>
      <c r="BC275">
        <v>8042</v>
      </c>
      <c r="BD275">
        <v>6100</v>
      </c>
      <c r="BE275">
        <v>2935</v>
      </c>
      <c r="BF275">
        <v>1869321</v>
      </c>
      <c r="BG275">
        <v>0</v>
      </c>
      <c r="BH275">
        <v>4837097</v>
      </c>
      <c r="BI275">
        <v>573209</v>
      </c>
      <c r="BJ275">
        <v>14592</v>
      </c>
      <c r="BK275">
        <v>25810</v>
      </c>
      <c r="BL275">
        <v>3091974</v>
      </c>
      <c r="BM275">
        <v>3642744</v>
      </c>
      <c r="BN275">
        <v>554825</v>
      </c>
      <c r="BO275">
        <v>12149124</v>
      </c>
      <c r="BP275">
        <v>33133108</v>
      </c>
      <c r="BQ275">
        <v>13007</v>
      </c>
      <c r="BR275">
        <v>1721602</v>
      </c>
      <c r="BS275">
        <v>49041</v>
      </c>
      <c r="BT275">
        <v>1127434</v>
      </c>
      <c r="BU275">
        <v>7206</v>
      </c>
      <c r="BV275">
        <v>6862</v>
      </c>
      <c r="BW275">
        <v>29958065</v>
      </c>
      <c r="BX275">
        <v>608047</v>
      </c>
      <c r="BY275">
        <v>14315270</v>
      </c>
      <c r="BZ275">
        <v>201804</v>
      </c>
      <c r="CA275">
        <v>24056542</v>
      </c>
      <c r="CB275">
        <v>109188</v>
      </c>
      <c r="CC275">
        <v>902436</v>
      </c>
      <c r="CD275">
        <v>15847939</v>
      </c>
    </row>
    <row r="276" spans="1:82" s="566" customFormat="1" ht="43.2" x14ac:dyDescent="0.3">
      <c r="A276" s="785"/>
      <c r="B276" s="784" t="s">
        <v>1873</v>
      </c>
      <c r="C276" s="924" t="s">
        <v>1671</v>
      </c>
      <c r="D276" s="784">
        <f>(D106+D135-D3-D4-D5-D8+D191)/(D132+D109+D11-D133-D108-D240)</f>
        <v>0.32380651765565766</v>
      </c>
      <c r="E276" s="784">
        <f t="shared" ref="E276:J276" si="0">(E106+E135-E3-E4-E5-E8+E191)/(E132+E109+E11-E133-E108-E240)</f>
        <v>0.3459285806618968</v>
      </c>
      <c r="F276" s="784">
        <f t="shared" si="0"/>
        <v>0.99471559073877847</v>
      </c>
      <c r="G276" s="784">
        <f t="shared" si="0"/>
        <v>1.224662715323275</v>
      </c>
      <c r="H276" s="784">
        <f t="shared" si="0"/>
        <v>1.5746462575194207</v>
      </c>
      <c r="I276" s="784">
        <f t="shared" si="0"/>
        <v>0.89427394822341333</v>
      </c>
      <c r="J276" s="784">
        <f t="shared" si="0"/>
        <v>2.2538170005414186</v>
      </c>
      <c r="K276" s="784">
        <f>(L106+L135-L3-L4-L5-L8+L191)/(L132+L109+L11-L133-L108-L240)</f>
        <v>0.35048732018285161</v>
      </c>
      <c r="L276" s="784">
        <f t="shared" ref="L276:T276" si="1">(L106+L135-L3-L4-L5-L8+L191)/(L132+L109+L11-L133-L108-L240)</f>
        <v>0.35048732018285161</v>
      </c>
      <c r="M276" s="784">
        <f t="shared" si="1"/>
        <v>0.28620402299177133</v>
      </c>
      <c r="N276" s="784">
        <f t="shared" si="1"/>
        <v>1.6568079617692666</v>
      </c>
      <c r="O276" s="784">
        <f t="shared" si="1"/>
        <v>0.89811972911958771</v>
      </c>
      <c r="P276" s="784">
        <f t="shared" si="1"/>
        <v>0.99631854154889765</v>
      </c>
      <c r="Q276" s="784">
        <f t="shared" si="1"/>
        <v>6.6004428518361136E-2</v>
      </c>
      <c r="R276" s="784">
        <f t="shared" si="1"/>
        <v>2.3104245570733508</v>
      </c>
      <c r="S276" s="784">
        <f t="shared" si="1"/>
        <v>2.1117179532266572</v>
      </c>
      <c r="T276" s="784">
        <f t="shared" si="1"/>
        <v>0.66481393158073321</v>
      </c>
      <c r="U276" s="784"/>
      <c r="V276" s="784">
        <f t="shared" ref="V276:AU276" si="2">(V106+V135-V3-V4-V5-V8+V191)/(V132+V109+V11-V133-V108-V240)</f>
        <v>1.0770421463024549</v>
      </c>
      <c r="W276" s="784">
        <f t="shared" si="2"/>
        <v>0.16257063604910973</v>
      </c>
      <c r="X276" s="784">
        <f t="shared" si="2"/>
        <v>0.91964755273335963</v>
      </c>
      <c r="Y276" s="784">
        <f t="shared" si="2"/>
        <v>0.23514641380579071</v>
      </c>
      <c r="Z276" s="784">
        <f t="shared" si="2"/>
        <v>0.69850414232214197</v>
      </c>
      <c r="AA276" s="784">
        <f t="shared" si="2"/>
        <v>10.844278839493674</v>
      </c>
      <c r="AB276" s="784">
        <f t="shared" si="2"/>
        <v>2.2465938821826299</v>
      </c>
      <c r="AC276" s="784">
        <f t="shared" si="2"/>
        <v>0.58450598761413552</v>
      </c>
      <c r="AD276" s="784">
        <f t="shared" si="2"/>
        <v>0.62110644665987413</v>
      </c>
      <c r="AE276" s="784">
        <f t="shared" si="2"/>
        <v>1.1328438263113645</v>
      </c>
      <c r="AF276" s="784">
        <f t="shared" si="2"/>
        <v>0.490301679279461</v>
      </c>
      <c r="AG276" s="784">
        <f t="shared" si="2"/>
        <v>8.3256428148048105</v>
      </c>
      <c r="AH276" s="784">
        <f t="shared" si="2"/>
        <v>1.0188934885999146</v>
      </c>
      <c r="AI276" s="784">
        <f t="shared" si="2"/>
        <v>0.32676628261029667</v>
      </c>
      <c r="AJ276" s="784">
        <f t="shared" si="2"/>
        <v>1.4475923294143704</v>
      </c>
      <c r="AK276" s="784">
        <f t="shared" si="2"/>
        <v>0.8297309054751103</v>
      </c>
      <c r="AL276" s="784">
        <f t="shared" si="2"/>
        <v>0.43379441706445876</v>
      </c>
      <c r="AM276" s="784">
        <f t="shared" si="2"/>
        <v>5.1484442101145476</v>
      </c>
      <c r="AN276" s="784">
        <f t="shared" si="2"/>
        <v>0.76527712439537865</v>
      </c>
      <c r="AO276" s="784">
        <f t="shared" si="2"/>
        <v>2.1985777260251185</v>
      </c>
      <c r="AP276" s="784">
        <f t="shared" si="2"/>
        <v>1.3622637377926063</v>
      </c>
      <c r="AQ276" s="784">
        <f t="shared" si="2"/>
        <v>0.8658027011945949</v>
      </c>
      <c r="AR276" s="784">
        <f t="shared" si="2"/>
        <v>5.7625230716401257</v>
      </c>
      <c r="AS276" s="784">
        <f t="shared" si="2"/>
        <v>1.4904472525249381</v>
      </c>
      <c r="AT276" s="784">
        <f t="shared" si="2"/>
        <v>5.7442220178445584</v>
      </c>
      <c r="AU276" s="784">
        <f t="shared" si="2"/>
        <v>0.18018603666645391</v>
      </c>
      <c r="AV276" s="784">
        <f>(AW106+AW135-AW3-AW4-AW5-AW8+AW191)/(AW132+AW109+AW11-AW133-AW108-AW240)</f>
        <v>0.73641811221858489</v>
      </c>
      <c r="AW276" s="784">
        <f t="shared" ref="AW276:BR276" si="3">(AW106+AW135-AW3-AW4-AW5-AW8+AW191)/(AW132+AW109+AW11-AW133-AW108-AW240)</f>
        <v>0.73641811221858489</v>
      </c>
      <c r="AX276" s="784">
        <f t="shared" si="3"/>
        <v>0.38607727611291248</v>
      </c>
      <c r="AY276" s="784">
        <f t="shared" si="3"/>
        <v>1.3350888722470999</v>
      </c>
      <c r="AZ276" s="784">
        <f t="shared" si="3"/>
        <v>0.52072153923322262</v>
      </c>
      <c r="BA276" s="784">
        <f t="shared" si="3"/>
        <v>2.0913206883115252</v>
      </c>
      <c r="BB276" s="784">
        <f t="shared" si="3"/>
        <v>0.86207707463181016</v>
      </c>
      <c r="BC276" s="784">
        <f t="shared" si="3"/>
        <v>6.2698936083030841</v>
      </c>
      <c r="BD276" s="784">
        <f t="shared" si="3"/>
        <v>2.1363903970694054</v>
      </c>
      <c r="BE276" s="784">
        <f t="shared" si="3"/>
        <v>2.6633517569693792</v>
      </c>
      <c r="BF276" s="784">
        <f t="shared" si="3"/>
        <v>0.29468540883851962</v>
      </c>
      <c r="BG276" s="784">
        <f t="shared" si="3"/>
        <v>1.475848517327617</v>
      </c>
      <c r="BH276" s="784">
        <f t="shared" si="3"/>
        <v>0.98566424405746211</v>
      </c>
      <c r="BI276" s="784">
        <f t="shared" si="3"/>
        <v>0.43863203958196217</v>
      </c>
      <c r="BJ276" s="784">
        <f t="shared" si="3"/>
        <v>2.1522434161891355</v>
      </c>
      <c r="BK276" s="784">
        <f t="shared" si="3"/>
        <v>4.9973022901211035</v>
      </c>
      <c r="BL276" s="784">
        <f t="shared" si="3"/>
        <v>0.54958295876941554</v>
      </c>
      <c r="BM276" s="784">
        <f t="shared" si="3"/>
        <v>0.301171412851165</v>
      </c>
      <c r="BN276" s="784">
        <f t="shared" si="3"/>
        <v>0.85185054557478235</v>
      </c>
      <c r="BO276" s="784">
        <f t="shared" si="3"/>
        <v>0.39280499417148901</v>
      </c>
      <c r="BP276" s="784">
        <f t="shared" si="3"/>
        <v>0.31014410429087325</v>
      </c>
      <c r="BQ276" s="784">
        <f t="shared" si="3"/>
        <v>0.77526890590355635</v>
      </c>
      <c r="BR276" s="784">
        <f t="shared" si="3"/>
        <v>0.63344027168661576</v>
      </c>
      <c r="BS276" s="784">
        <f t="shared" ref="BS276:CD276" si="4">(BS106+BS135-BS3-BS4-BS5-BS8+BS191)/(BS132+BS109+BS11-BS133-BS108-BS240)</f>
        <v>0.79609210735493319</v>
      </c>
      <c r="BT276" s="784">
        <f t="shared" si="4"/>
        <v>0.761995019273913</v>
      </c>
      <c r="BU276" s="784">
        <f t="shared" si="4"/>
        <v>1.6561921782347035</v>
      </c>
      <c r="BV276" s="784">
        <f t="shared" si="4"/>
        <v>1.6734891200005544</v>
      </c>
      <c r="BW276" s="784">
        <f t="shared" si="4"/>
        <v>1.1159135248710614</v>
      </c>
      <c r="BX276" s="784">
        <f t="shared" si="4"/>
        <v>0.60314958725853507</v>
      </c>
      <c r="BY276" s="784">
        <f t="shared" si="4"/>
        <v>0.61039204386221724</v>
      </c>
      <c r="BZ276" s="784">
        <f t="shared" si="4"/>
        <v>0.24596503745986442</v>
      </c>
      <c r="CA276" s="784">
        <f t="shared" si="4"/>
        <v>0.43465857629522814</v>
      </c>
      <c r="CB276" s="784">
        <f t="shared" si="4"/>
        <v>1.7013869920179672</v>
      </c>
      <c r="CC276" s="784">
        <f t="shared" si="4"/>
        <v>0.71447849166027222</v>
      </c>
      <c r="CD276" s="784">
        <f t="shared" si="4"/>
        <v>0.80086215195273547</v>
      </c>
    </row>
    <row r="277" spans="1:82" x14ac:dyDescent="0.3">
      <c r="A277" s="565" t="s">
        <v>1883</v>
      </c>
      <c r="B277" s="566" t="s">
        <v>1882</v>
      </c>
      <c r="C277" s="566"/>
      <c r="D277" s="970">
        <f t="shared" ref="D277:AI277" si="5">1-((D123+D124+D125+D126)/(D115+D116+D117+D118))</f>
        <v>0.71344814157345948</v>
      </c>
      <c r="E277" s="970">
        <f t="shared" si="5"/>
        <v>0.53280255128375842</v>
      </c>
      <c r="F277" s="970" t="e">
        <f t="shared" si="5"/>
        <v>#DIV/0!</v>
      </c>
      <c r="G277" s="970">
        <f t="shared" si="5"/>
        <v>0.44467770818654528</v>
      </c>
      <c r="H277" s="970">
        <f t="shared" si="5"/>
        <v>0.54102336059115497</v>
      </c>
      <c r="I277" s="970">
        <f t="shared" si="5"/>
        <v>0.27464593245909252</v>
      </c>
      <c r="J277" s="970" t="e">
        <f t="shared" si="5"/>
        <v>#DIV/0!</v>
      </c>
      <c r="K277" s="970">
        <f t="shared" si="5"/>
        <v>0.69095074934875345</v>
      </c>
      <c r="L277" s="970">
        <f t="shared" si="5"/>
        <v>0.65475860407241859</v>
      </c>
      <c r="M277" s="970" t="e">
        <f t="shared" si="5"/>
        <v>#DIV/0!</v>
      </c>
      <c r="N277" s="970" t="e">
        <f t="shared" si="5"/>
        <v>#DIV/0!</v>
      </c>
      <c r="O277" s="970" t="e">
        <f t="shared" si="5"/>
        <v>#DIV/0!</v>
      </c>
      <c r="P277" s="970">
        <f t="shared" si="5"/>
        <v>0.88973690097633473</v>
      </c>
      <c r="Q277" s="970">
        <f t="shared" si="5"/>
        <v>0.52936679938217046</v>
      </c>
      <c r="R277" s="970" t="e">
        <f t="shared" si="5"/>
        <v>#DIV/0!</v>
      </c>
      <c r="S277" s="970">
        <f t="shared" si="5"/>
        <v>0.51512981069996988</v>
      </c>
      <c r="T277" s="970">
        <f t="shared" si="5"/>
        <v>0.41814354470150317</v>
      </c>
      <c r="U277" s="970">
        <f t="shared" si="5"/>
        <v>0.35368617921262002</v>
      </c>
      <c r="V277" s="970">
        <f t="shared" si="5"/>
        <v>0.61825650702299562</v>
      </c>
      <c r="W277" s="970" t="e">
        <f t="shared" si="5"/>
        <v>#DIV/0!</v>
      </c>
      <c r="X277" s="970">
        <f t="shared" si="5"/>
        <v>0.51816152193533371</v>
      </c>
      <c r="Y277" s="970">
        <f t="shared" si="5"/>
        <v>0.6030620564539122</v>
      </c>
      <c r="Z277" s="970">
        <f t="shared" si="5"/>
        <v>0.6851125053747158</v>
      </c>
      <c r="AA277" s="970">
        <f t="shared" si="5"/>
        <v>0.53117309417427472</v>
      </c>
      <c r="AB277" s="970">
        <f t="shared" si="5"/>
        <v>0.67206189242142433</v>
      </c>
      <c r="AC277" s="970" t="e">
        <f t="shared" si="5"/>
        <v>#DIV/0!</v>
      </c>
      <c r="AD277" s="970" t="e">
        <f t="shared" si="5"/>
        <v>#DIV/0!</v>
      </c>
      <c r="AE277" s="970" t="e">
        <f t="shared" si="5"/>
        <v>#DIV/0!</v>
      </c>
      <c r="AF277" s="970">
        <f t="shared" si="5"/>
        <v>0.59952927490494323</v>
      </c>
      <c r="AG277" s="970" t="e">
        <f t="shared" si="5"/>
        <v>#DIV/0!</v>
      </c>
      <c r="AH277" s="970">
        <f t="shared" si="5"/>
        <v>0.30528166073024965</v>
      </c>
      <c r="AI277" s="970">
        <f t="shared" si="5"/>
        <v>0.32827274934427597</v>
      </c>
      <c r="AJ277" s="970">
        <f t="shared" ref="AJ277:BR277" si="6">1-((AJ123+AJ124+AJ125+AJ126)/(AJ115+AJ116+AJ117+AJ118))</f>
        <v>0.45604686662508265</v>
      </c>
      <c r="AK277" s="970">
        <f t="shared" si="6"/>
        <v>0.41482246411430501</v>
      </c>
      <c r="AL277" s="970">
        <f t="shared" si="6"/>
        <v>0.34439843365235034</v>
      </c>
      <c r="AM277" s="970">
        <f t="shared" si="6"/>
        <v>0.8530686894543994</v>
      </c>
      <c r="AN277" s="970">
        <f t="shared" si="6"/>
        <v>0.60537193698551706</v>
      </c>
      <c r="AO277" s="970" t="e">
        <f t="shared" si="6"/>
        <v>#DIV/0!</v>
      </c>
      <c r="AP277" s="970">
        <f t="shared" si="6"/>
        <v>0.43330457458599636</v>
      </c>
      <c r="AQ277" s="970" t="e">
        <f t="shared" si="6"/>
        <v>#DIV/0!</v>
      </c>
      <c r="AR277" s="970" t="e">
        <f t="shared" si="6"/>
        <v>#DIV/0!</v>
      </c>
      <c r="AS277" s="970">
        <f t="shared" si="6"/>
        <v>0.66596951685736738</v>
      </c>
      <c r="AT277" s="970">
        <f t="shared" si="6"/>
        <v>0.69595255241913612</v>
      </c>
      <c r="AU277" s="970">
        <f t="shared" si="6"/>
        <v>0.55388257892853121</v>
      </c>
      <c r="AV277" s="970">
        <f t="shared" si="6"/>
        <v>0.54922734582943489</v>
      </c>
      <c r="AW277" s="970">
        <f t="shared" si="6"/>
        <v>0.44010142310306111</v>
      </c>
      <c r="AX277" s="970">
        <f t="shared" si="6"/>
        <v>0.47184575763222936</v>
      </c>
      <c r="AY277" s="970">
        <f t="shared" si="6"/>
        <v>0.34403061072411367</v>
      </c>
      <c r="AZ277" s="970">
        <f t="shared" si="6"/>
        <v>0.65051863558372225</v>
      </c>
      <c r="BA277" s="970">
        <f t="shared" si="6"/>
        <v>0.52604060493957627</v>
      </c>
      <c r="BB277" s="970">
        <f t="shared" si="6"/>
        <v>0.15596669130972907</v>
      </c>
      <c r="BC277" s="970">
        <f t="shared" si="6"/>
        <v>0.63238248929998497</v>
      </c>
      <c r="BD277" s="970" t="e">
        <f t="shared" si="6"/>
        <v>#DIV/0!</v>
      </c>
      <c r="BE277" s="970">
        <f t="shared" si="6"/>
        <v>0.33005885013036107</v>
      </c>
      <c r="BF277" s="970">
        <f t="shared" si="6"/>
        <v>0.66652912054969504</v>
      </c>
      <c r="BG277" s="970" t="e">
        <f t="shared" si="6"/>
        <v>#DIV/0!</v>
      </c>
      <c r="BH277" s="970">
        <f t="shared" si="6"/>
        <v>0.46518833767532286</v>
      </c>
      <c r="BI277" s="970">
        <f t="shared" si="6"/>
        <v>0.40474215522894241</v>
      </c>
      <c r="BJ277" s="970" t="e">
        <f t="shared" si="6"/>
        <v>#DIV/0!</v>
      </c>
      <c r="BK277" s="970" t="e">
        <f t="shared" si="6"/>
        <v>#DIV/0!</v>
      </c>
      <c r="BL277" s="970">
        <f t="shared" si="6"/>
        <v>0.62331943329587891</v>
      </c>
      <c r="BM277" s="970">
        <f t="shared" si="6"/>
        <v>0.52207819334375816</v>
      </c>
      <c r="BN277" s="970">
        <f t="shared" si="6"/>
        <v>0.43942143602357608</v>
      </c>
      <c r="BO277" s="970">
        <f t="shared" si="6"/>
        <v>0.51990713590304738</v>
      </c>
      <c r="BP277" s="970">
        <f t="shared" si="6"/>
        <v>0.50452145837588747</v>
      </c>
      <c r="BQ277" s="970">
        <f t="shared" si="6"/>
        <v>0.81512070758560862</v>
      </c>
      <c r="BR277" s="970">
        <f t="shared" si="6"/>
        <v>0.63536386122794641</v>
      </c>
      <c r="BS277" s="970" t="e">
        <f t="shared" ref="BS277:CD277" si="7">1-((BS123+BS124+BS125+BS126)/(BS115+BS116+BS117+BS118))</f>
        <v>#DIV/0!</v>
      </c>
      <c r="BT277" s="970">
        <f t="shared" si="7"/>
        <v>0.65730070321906042</v>
      </c>
      <c r="BU277" s="970">
        <f t="shared" si="7"/>
        <v>0.42606190837216107</v>
      </c>
      <c r="BV277" s="970">
        <f t="shared" si="7"/>
        <v>0.96249981577822641</v>
      </c>
      <c r="BW277" s="970">
        <f t="shared" si="7"/>
        <v>0.67564928568657878</v>
      </c>
      <c r="BX277" s="970" t="e">
        <f t="shared" si="7"/>
        <v>#DIV/0!</v>
      </c>
      <c r="BY277" s="970">
        <f t="shared" si="7"/>
        <v>0.68965636163808519</v>
      </c>
      <c r="BZ277" s="970">
        <f t="shared" si="7"/>
        <v>0.60722787534047817</v>
      </c>
      <c r="CA277" s="970" t="e">
        <f t="shared" si="7"/>
        <v>#DIV/0!</v>
      </c>
      <c r="CB277" s="970">
        <f t="shared" si="7"/>
        <v>0.33816839127332043</v>
      </c>
      <c r="CC277" s="970" t="e">
        <f t="shared" si="7"/>
        <v>#DIV/0!</v>
      </c>
      <c r="CD277" s="970" t="e">
        <f t="shared" si="7"/>
        <v>#DIV/0!</v>
      </c>
    </row>
    <row r="280" spans="1:82" s="1050" customFormat="1" x14ac:dyDescent="0.3">
      <c r="A280" s="1049"/>
      <c r="D280" s="1051">
        <v>90205903.150000006</v>
      </c>
      <c r="E280" s="1051">
        <v>91739265.700000003</v>
      </c>
      <c r="F280" s="1051">
        <v>14739840.51</v>
      </c>
      <c r="G280" s="1051">
        <v>73529425.290000007</v>
      </c>
      <c r="H280" s="1051">
        <v>48124107.450000003</v>
      </c>
      <c r="I280" s="1051">
        <v>9117012.2300000004</v>
      </c>
      <c r="J280" s="1051">
        <v>1597232.81</v>
      </c>
      <c r="K280" s="1051">
        <v>31733749.23</v>
      </c>
      <c r="L280" s="1051">
        <v>425452991.5</v>
      </c>
      <c r="M280" s="1051">
        <v>5163452007.0200005</v>
      </c>
      <c r="N280" s="1051">
        <v>57132393.109999999</v>
      </c>
      <c r="O280" s="1051">
        <v>191505679.61000001</v>
      </c>
      <c r="P280" s="1051">
        <v>18946029.140000001</v>
      </c>
      <c r="Q280" s="1051">
        <v>695126105.54999995</v>
      </c>
      <c r="R280" s="1051">
        <v>2997750.57</v>
      </c>
      <c r="S280" s="1051">
        <v>44077363.670000002</v>
      </c>
      <c r="T280" s="1051">
        <v>89028186.859999999</v>
      </c>
      <c r="U280" s="1051">
        <v>46362743.18</v>
      </c>
      <c r="V280" s="1051">
        <v>314792147.01999998</v>
      </c>
      <c r="W280" s="1051">
        <v>36696532.390000001</v>
      </c>
      <c r="X280" s="1051">
        <v>43528423.270000003</v>
      </c>
      <c r="Y280" s="1051">
        <v>84043289.5</v>
      </c>
      <c r="Z280" s="1051">
        <v>2376002282.02</v>
      </c>
      <c r="AA280" s="1051">
        <v>79115572.010000005</v>
      </c>
      <c r="AB280" s="1051">
        <v>36989374.770000003</v>
      </c>
      <c r="AC280" s="1051">
        <v>1106602515.98</v>
      </c>
      <c r="AD280" s="1051">
        <v>22486286.469999999</v>
      </c>
      <c r="AE280" s="1051">
        <v>14931736.199999999</v>
      </c>
      <c r="AF280" s="1051">
        <v>5327067869.4899998</v>
      </c>
      <c r="AG280" s="1051">
        <v>11306795.300000001</v>
      </c>
      <c r="AH280" s="1051">
        <v>12587150.779999999</v>
      </c>
      <c r="AI280" s="1051">
        <v>198056635.02000001</v>
      </c>
      <c r="AJ280" s="1051">
        <v>31177364.09</v>
      </c>
      <c r="AK280" s="1051">
        <v>5731542.0999999996</v>
      </c>
      <c r="AL280" s="1051">
        <v>1628000450.1600001</v>
      </c>
      <c r="AM280" s="1051">
        <v>36116201.25</v>
      </c>
      <c r="AN280" s="1051">
        <v>674302088.84000003</v>
      </c>
      <c r="AO280" s="1051">
        <v>1340667</v>
      </c>
      <c r="AP280" s="1051">
        <v>322455817.02999997</v>
      </c>
      <c r="AQ280" s="1051">
        <v>58895783.600000001</v>
      </c>
      <c r="AR280" s="1051">
        <v>10375637.880000001</v>
      </c>
      <c r="AS280" s="1051">
        <v>88157269.790000007</v>
      </c>
      <c r="AT280" s="1051">
        <v>39349140.719999999</v>
      </c>
      <c r="AU280" s="1051">
        <v>13597650589.07</v>
      </c>
      <c r="AV280" s="1051">
        <v>7108000058.7600002</v>
      </c>
      <c r="AW280" s="1051">
        <v>85456614.510000005</v>
      </c>
      <c r="AX280" s="1051">
        <v>24300802.559999999</v>
      </c>
      <c r="AY280" s="1051">
        <v>22509021.18</v>
      </c>
      <c r="AZ280" s="1051">
        <v>17763837.280000001</v>
      </c>
      <c r="BA280" s="1051">
        <v>34192890.170000002</v>
      </c>
      <c r="BB280" s="1051">
        <v>231607686.62</v>
      </c>
      <c r="BC280" s="1051">
        <v>30571857.09</v>
      </c>
      <c r="BD280" s="1051">
        <v>3952744.51</v>
      </c>
      <c r="BE280" s="1051">
        <v>7492933.5999999996</v>
      </c>
      <c r="BF280" s="1051">
        <v>728813768.75999999</v>
      </c>
      <c r="BG280" s="1051">
        <v>1094030.56</v>
      </c>
      <c r="BH280" s="1051">
        <v>566135056.83000004</v>
      </c>
      <c r="BI280" s="1051">
        <v>95251543.909999996</v>
      </c>
      <c r="BJ280" s="1051">
        <v>9434926.6300000008</v>
      </c>
      <c r="BK280" s="1051">
        <v>5190441</v>
      </c>
      <c r="BL280" s="1051">
        <v>1151788542.5699999</v>
      </c>
      <c r="BM280" s="1051">
        <v>1237778677.28</v>
      </c>
      <c r="BN280" s="1051">
        <v>164681246.05000001</v>
      </c>
      <c r="BO280" s="1051">
        <v>2656368935.2199998</v>
      </c>
      <c r="BP280" s="1051">
        <v>8111355910.1700001</v>
      </c>
      <c r="BQ280" s="1051">
        <v>32832961.18</v>
      </c>
      <c r="BR280" s="1051">
        <v>486001628.49000001</v>
      </c>
      <c r="BS280" s="1052">
        <v>39240174.289999999</v>
      </c>
      <c r="BT280" s="1052">
        <v>861335950</v>
      </c>
      <c r="BU280" s="1052">
        <v>33456050.739999998</v>
      </c>
      <c r="BV280" s="1052">
        <v>21841699.640000001</v>
      </c>
      <c r="BW280" s="1052">
        <v>555027395</v>
      </c>
      <c r="BX280" s="1052">
        <v>61534601.520000003</v>
      </c>
      <c r="BY280" s="1052">
        <v>2736410603.77</v>
      </c>
      <c r="BZ280" s="1052">
        <v>35644111.109999999</v>
      </c>
      <c r="CA280" s="1052">
        <v>401493399.36000001</v>
      </c>
      <c r="CB280" s="1052">
        <v>27294294.100000001</v>
      </c>
      <c r="CC280" s="1052">
        <v>69572271.450000003</v>
      </c>
      <c r="CD280" s="1052">
        <v>1758984973.6400001</v>
      </c>
    </row>
    <row r="281" spans="1:82" x14ac:dyDescent="0.3">
      <c r="V281" s="574"/>
      <c r="Z281" s="574"/>
      <c r="AU281" s="574"/>
      <c r="BS281" s="568"/>
    </row>
    <row r="282" spans="1:82" x14ac:dyDescent="0.3">
      <c r="D282" s="1043">
        <f t="shared" ref="D282:AI282" si="8">D257-D280</f>
        <v>0</v>
      </c>
      <c r="E282" s="1043">
        <f t="shared" si="8"/>
        <v>0</v>
      </c>
      <c r="F282" s="1043">
        <f t="shared" si="8"/>
        <v>0</v>
      </c>
      <c r="G282" s="1043">
        <f t="shared" si="8"/>
        <v>0</v>
      </c>
      <c r="H282" s="1043">
        <f t="shared" si="8"/>
        <v>0</v>
      </c>
      <c r="I282" s="1043">
        <f t="shared" si="8"/>
        <v>0</v>
      </c>
      <c r="J282" s="1043">
        <f t="shared" si="8"/>
        <v>0</v>
      </c>
      <c r="K282" s="1043">
        <f t="shared" si="8"/>
        <v>0</v>
      </c>
      <c r="L282" s="1043">
        <f t="shared" si="8"/>
        <v>0</v>
      </c>
      <c r="M282" s="1043">
        <f>M257-M280</f>
        <v>0</v>
      </c>
      <c r="N282" s="1043">
        <f t="shared" si="8"/>
        <v>0</v>
      </c>
      <c r="O282" s="1043">
        <f t="shared" si="8"/>
        <v>0</v>
      </c>
      <c r="P282" s="1043">
        <f t="shared" si="8"/>
        <v>4.0000006556510925E-3</v>
      </c>
      <c r="Q282" s="1043">
        <f t="shared" si="8"/>
        <v>0</v>
      </c>
      <c r="R282" s="1043">
        <f t="shared" si="8"/>
        <v>0</v>
      </c>
      <c r="S282" s="1043">
        <f t="shared" si="8"/>
        <v>-2.5000050663948059E-3</v>
      </c>
      <c r="T282" s="1043">
        <f t="shared" si="8"/>
        <v>0</v>
      </c>
      <c r="U282" s="1043">
        <f t="shared" si="8"/>
        <v>0</v>
      </c>
      <c r="V282" s="1043">
        <f t="shared" si="8"/>
        <v>0</v>
      </c>
      <c r="W282" s="1043">
        <f t="shared" si="8"/>
        <v>0</v>
      </c>
      <c r="X282" s="1043">
        <f t="shared" si="8"/>
        <v>-5.0000026822090149E-3</v>
      </c>
      <c r="Y282" s="1043">
        <f t="shared" si="8"/>
        <v>0</v>
      </c>
      <c r="Z282" s="1043">
        <f t="shared" si="8"/>
        <v>-5.0001144409179688E-3</v>
      </c>
      <c r="AA282" s="1043">
        <f t="shared" si="8"/>
        <v>0</v>
      </c>
      <c r="AB282" s="1043">
        <f t="shared" si="8"/>
        <v>0</v>
      </c>
      <c r="AC282" s="1043">
        <f t="shared" si="8"/>
        <v>-2.9001235961914063E-3</v>
      </c>
      <c r="AD282" s="1043">
        <f t="shared" si="8"/>
        <v>0</v>
      </c>
      <c r="AE282" s="1043">
        <f t="shared" si="8"/>
        <v>0</v>
      </c>
      <c r="AF282" s="1043">
        <f t="shared" si="8"/>
        <v>0</v>
      </c>
      <c r="AG282" s="1043">
        <f t="shared" si="8"/>
        <v>0</v>
      </c>
      <c r="AH282" s="1043">
        <f t="shared" si="8"/>
        <v>0</v>
      </c>
      <c r="AI282" s="1043">
        <f t="shared" si="8"/>
        <v>0</v>
      </c>
      <c r="AJ282" s="1043">
        <f t="shared" ref="AJ282:CD282" si="9">AJ257-AJ280</f>
        <v>0</v>
      </c>
      <c r="AK282" s="1043">
        <f t="shared" si="9"/>
        <v>0</v>
      </c>
      <c r="AL282" s="1043">
        <f t="shared" si="9"/>
        <v>0</v>
      </c>
      <c r="AM282" s="1043">
        <f t="shared" si="9"/>
        <v>0</v>
      </c>
      <c r="AN282" s="1043">
        <f t="shared" si="9"/>
        <v>0</v>
      </c>
      <c r="AO282" s="1043">
        <f t="shared" si="9"/>
        <v>0</v>
      </c>
      <c r="AP282" s="1043">
        <f t="shared" si="9"/>
        <v>0</v>
      </c>
      <c r="AQ282" s="1043">
        <f t="shared" si="9"/>
        <v>0</v>
      </c>
      <c r="AR282" s="1043">
        <f t="shared" si="9"/>
        <v>0</v>
      </c>
      <c r="AS282" s="1043">
        <f t="shared" si="9"/>
        <v>0</v>
      </c>
      <c r="AT282" s="1043">
        <f t="shared" si="9"/>
        <v>0</v>
      </c>
      <c r="AU282" s="1043">
        <f t="shared" si="9"/>
        <v>2.5005340576171875E-3</v>
      </c>
      <c r="AV282" s="1043">
        <f t="shared" si="9"/>
        <v>-5.0067901611328125E-4</v>
      </c>
      <c r="AW282" s="1043">
        <f t="shared" si="9"/>
        <v>0</v>
      </c>
      <c r="AX282" s="1043">
        <f t="shared" si="9"/>
        <v>0</v>
      </c>
      <c r="AY282" s="1043">
        <f t="shared" si="9"/>
        <v>-4.9999989569187164E-3</v>
      </c>
      <c r="AZ282" s="1043">
        <f t="shared" si="9"/>
        <v>0</v>
      </c>
      <c r="BA282" s="1043">
        <f t="shared" si="9"/>
        <v>0</v>
      </c>
      <c r="BB282" s="1043">
        <f t="shared" si="9"/>
        <v>0</v>
      </c>
      <c r="BC282" s="1043">
        <f t="shared" si="9"/>
        <v>0</v>
      </c>
      <c r="BD282" s="1043">
        <f t="shared" si="9"/>
        <v>0</v>
      </c>
      <c r="BE282" s="1043">
        <f t="shared" si="9"/>
        <v>0</v>
      </c>
      <c r="BF282" s="1043">
        <f t="shared" si="9"/>
        <v>-4.999995231628418E-3</v>
      </c>
      <c r="BG282" s="1043">
        <f t="shared" si="9"/>
        <v>0</v>
      </c>
      <c r="BH282" s="1043">
        <f t="shared" si="9"/>
        <v>0</v>
      </c>
      <c r="BI282" s="1043">
        <f t="shared" si="9"/>
        <v>0</v>
      </c>
      <c r="BJ282" s="1043">
        <f t="shared" si="9"/>
        <v>-5.0000008195638657E-3</v>
      </c>
      <c r="BK282" s="1043">
        <f t="shared" si="9"/>
        <v>0</v>
      </c>
      <c r="BL282" s="1043">
        <f t="shared" si="9"/>
        <v>2.0000934600830078E-3</v>
      </c>
      <c r="BM282" s="1043">
        <f t="shared" si="9"/>
        <v>0</v>
      </c>
      <c r="BN282" s="1043">
        <f t="shared" si="9"/>
        <v>-5.0000250339508057E-3</v>
      </c>
      <c r="BO282" s="1043">
        <f t="shared" si="9"/>
        <v>0</v>
      </c>
      <c r="BP282" s="1043">
        <f t="shared" si="9"/>
        <v>-2.5005340576171875E-3</v>
      </c>
      <c r="BQ282" s="1043">
        <f t="shared" si="9"/>
        <v>0</v>
      </c>
      <c r="BR282" s="1043">
        <f t="shared" si="9"/>
        <v>0</v>
      </c>
      <c r="BS282" s="1043">
        <f t="shared" si="9"/>
        <v>0</v>
      </c>
      <c r="BT282" s="1043">
        <f t="shared" si="9"/>
        <v>-3.0000209808349609E-3</v>
      </c>
      <c r="BU282" s="1043">
        <f t="shared" si="9"/>
        <v>0</v>
      </c>
      <c r="BV282" s="1043">
        <f t="shared" si="9"/>
        <v>0</v>
      </c>
      <c r="BW282" s="1043">
        <f t="shared" si="9"/>
        <v>0</v>
      </c>
      <c r="BX282" s="1043">
        <f t="shared" si="9"/>
        <v>0</v>
      </c>
      <c r="BY282" s="1043">
        <f t="shared" si="9"/>
        <v>1.5997886657714844E-3</v>
      </c>
      <c r="BZ282" s="1043">
        <f t="shared" si="9"/>
        <v>0</v>
      </c>
      <c r="CA282" s="1043">
        <f t="shared" si="9"/>
        <v>0</v>
      </c>
      <c r="CB282" s="1043">
        <f t="shared" si="9"/>
        <v>0</v>
      </c>
      <c r="CC282" s="1043">
        <f t="shared" si="9"/>
        <v>0</v>
      </c>
      <c r="CD282" s="1043">
        <f t="shared" si="9"/>
        <v>0</v>
      </c>
    </row>
    <row r="284" spans="1:82" x14ac:dyDescent="0.3">
      <c r="M284" t="s">
        <v>2750</v>
      </c>
    </row>
    <row r="285" spans="1:82" x14ac:dyDescent="0.3">
      <c r="M285" t="s">
        <v>2751</v>
      </c>
    </row>
    <row r="286" spans="1:82" x14ac:dyDescent="0.3">
      <c r="M286" t="s">
        <v>2752</v>
      </c>
    </row>
    <row r="287" spans="1:82" x14ac:dyDescent="0.3">
      <c r="M287" t="s">
        <v>2753</v>
      </c>
    </row>
    <row r="288" spans="1:82" x14ac:dyDescent="0.3">
      <c r="M288" t="s">
        <v>2754</v>
      </c>
    </row>
  </sheetData>
  <sheetProtection algorithmName="SHA-512" hashValue="TQ+QVEh1bZ1NPdS1zUCY+unjQj5vPp2hOIpeP7blbzrGUgPDi9rFlF7wIN2NEX9dDSS+myFUt7bFWKCjx+4Bmw==" saltValue="ELdIpSMvCrW1sfLLRRxCrQ==" spinCount="100000" sheet="1" objects="1" scenario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95"/>
  <sheetViews>
    <sheetView workbookViewId="0">
      <selection activeCell="Q32" sqref="Q32"/>
    </sheetView>
  </sheetViews>
  <sheetFormatPr defaultColWidth="9.109375" defaultRowHeight="14.4" x14ac:dyDescent="0.3"/>
  <cols>
    <col min="1" max="1" width="28.5546875" style="382" customWidth="1"/>
    <col min="2" max="12" width="9.109375" style="382"/>
    <col min="13" max="13" width="21.6640625" style="382" customWidth="1"/>
    <col min="14" max="14" width="16.88671875" style="382" customWidth="1"/>
    <col min="15" max="16" width="9.109375" style="382"/>
    <col min="17" max="17" width="18.109375" style="382" customWidth="1"/>
    <col min="18" max="18" width="11" style="382" customWidth="1"/>
    <col min="19" max="16384" width="9.109375" style="382"/>
  </cols>
  <sheetData>
    <row r="1" spans="1:20" x14ac:dyDescent="0.3">
      <c r="A1" s="382" t="s">
        <v>798</v>
      </c>
    </row>
    <row r="2" spans="1:20" ht="15" thickBot="1" x14ac:dyDescent="0.35">
      <c r="A2" s="380" t="s">
        <v>499</v>
      </c>
      <c r="B2" s="156">
        <v>50129</v>
      </c>
      <c r="C2" s="378">
        <v>50</v>
      </c>
      <c r="D2" s="50"/>
      <c r="E2" s="50"/>
      <c r="G2" s="382">
        <v>100</v>
      </c>
      <c r="I2" s="382" t="s">
        <v>330</v>
      </c>
    </row>
    <row r="3" spans="1:20" ht="15" customHeight="1" thickBot="1" x14ac:dyDescent="0.35">
      <c r="A3" s="381" t="s">
        <v>500</v>
      </c>
      <c r="B3" s="156">
        <v>50130</v>
      </c>
      <c r="C3" s="378">
        <v>50</v>
      </c>
      <c r="D3" s="49"/>
      <c r="E3" s="50"/>
      <c r="G3" s="382">
        <v>200</v>
      </c>
      <c r="I3" s="382" t="s">
        <v>331</v>
      </c>
      <c r="O3" s="384"/>
      <c r="P3" s="384"/>
      <c r="S3" s="384"/>
      <c r="T3" s="384"/>
    </row>
    <row r="4" spans="1:20" ht="15" customHeight="1" thickBot="1" x14ac:dyDescent="0.35">
      <c r="A4" s="381" t="s">
        <v>1193</v>
      </c>
      <c r="B4" s="156">
        <v>50560</v>
      </c>
      <c r="C4" s="378">
        <v>50</v>
      </c>
      <c r="D4" s="49"/>
      <c r="E4" s="50"/>
      <c r="G4" s="382">
        <v>300</v>
      </c>
      <c r="I4" s="382" t="s">
        <v>332</v>
      </c>
      <c r="O4" s="384"/>
      <c r="P4" s="384"/>
      <c r="S4" s="384"/>
      <c r="T4" s="384"/>
    </row>
    <row r="5" spans="1:20" ht="15" thickBot="1" x14ac:dyDescent="0.35">
      <c r="A5" s="381" t="s">
        <v>1194</v>
      </c>
      <c r="B5" s="156">
        <v>50131</v>
      </c>
      <c r="C5" s="378">
        <v>50</v>
      </c>
      <c r="D5" s="49"/>
      <c r="E5" s="50"/>
      <c r="G5" s="382">
        <v>400</v>
      </c>
      <c r="O5" s="384"/>
      <c r="P5" s="384"/>
      <c r="S5" s="384"/>
      <c r="T5" s="384"/>
    </row>
    <row r="6" spans="1:20" ht="15" thickBot="1" x14ac:dyDescent="0.35">
      <c r="A6" s="381" t="s">
        <v>1195</v>
      </c>
      <c r="B6" s="156">
        <v>50132</v>
      </c>
      <c r="C6" s="378">
        <v>50</v>
      </c>
      <c r="D6" s="49"/>
      <c r="E6" s="50"/>
      <c r="G6" s="382">
        <v>500</v>
      </c>
      <c r="O6" s="384"/>
      <c r="P6" s="384"/>
      <c r="S6" s="384"/>
      <c r="T6" s="384"/>
    </row>
    <row r="7" spans="1:20" ht="15" thickBot="1" x14ac:dyDescent="0.35">
      <c r="A7" s="381" t="s">
        <v>1196</v>
      </c>
      <c r="B7" s="156">
        <v>50133</v>
      </c>
      <c r="C7" s="378">
        <v>50</v>
      </c>
      <c r="D7" s="49"/>
      <c r="E7" s="50"/>
      <c r="O7" s="384"/>
      <c r="P7" s="384"/>
      <c r="S7" s="384"/>
      <c r="T7" s="384"/>
    </row>
    <row r="8" spans="1:20" ht="15" thickBot="1" x14ac:dyDescent="0.35">
      <c r="A8" s="381" t="s">
        <v>1197</v>
      </c>
      <c r="B8" s="156">
        <v>50134</v>
      </c>
      <c r="C8" s="378">
        <v>50</v>
      </c>
      <c r="D8" s="49"/>
      <c r="E8" s="50"/>
      <c r="O8" s="384"/>
      <c r="P8" s="384"/>
      <c r="S8" s="384"/>
      <c r="T8" s="384"/>
    </row>
    <row r="9" spans="1:20" ht="15" thickBot="1" x14ac:dyDescent="0.35">
      <c r="A9" s="381" t="s">
        <v>1198</v>
      </c>
      <c r="B9" s="156">
        <v>50473</v>
      </c>
      <c r="C9" s="378">
        <v>50</v>
      </c>
      <c r="D9" s="49"/>
      <c r="E9" s="50"/>
      <c r="O9" s="384"/>
      <c r="P9" s="384"/>
      <c r="S9" s="384"/>
      <c r="T9" s="384"/>
    </row>
    <row r="10" spans="1:20" ht="15" thickBot="1" x14ac:dyDescent="0.35">
      <c r="A10" s="381" t="s">
        <v>1199</v>
      </c>
      <c r="B10" s="156">
        <v>50135</v>
      </c>
      <c r="C10" s="378">
        <v>50</v>
      </c>
      <c r="D10" s="49"/>
      <c r="E10" s="50"/>
      <c r="O10" s="384"/>
      <c r="P10" s="384"/>
      <c r="S10" s="384"/>
      <c r="T10" s="384"/>
    </row>
    <row r="11" spans="1:20" ht="15" thickBot="1" x14ac:dyDescent="0.35">
      <c r="A11" s="381" t="s">
        <v>1200</v>
      </c>
      <c r="B11" s="156">
        <v>50136</v>
      </c>
      <c r="C11" s="378">
        <v>50</v>
      </c>
      <c r="D11" s="49"/>
      <c r="E11" s="50"/>
      <c r="O11" s="384"/>
      <c r="P11" s="384"/>
      <c r="S11" s="384"/>
      <c r="T11" s="384"/>
    </row>
    <row r="12" spans="1:20" ht="15" thickBot="1" x14ac:dyDescent="0.35">
      <c r="A12" s="381" t="s">
        <v>1201</v>
      </c>
      <c r="B12" s="156">
        <v>50514</v>
      </c>
      <c r="C12" s="378">
        <v>50</v>
      </c>
      <c r="D12" s="49"/>
      <c r="E12" s="50"/>
      <c r="O12" s="384"/>
      <c r="P12" s="384"/>
      <c r="S12" s="384"/>
      <c r="T12" s="384"/>
    </row>
    <row r="13" spans="1:20" ht="15" thickBot="1" x14ac:dyDescent="0.35">
      <c r="A13" s="381" t="s">
        <v>1202</v>
      </c>
      <c r="B13" s="156">
        <v>50515</v>
      </c>
      <c r="C13" s="378">
        <v>50</v>
      </c>
      <c r="D13" s="49"/>
      <c r="E13" s="50"/>
      <c r="O13" s="384"/>
      <c r="P13" s="384"/>
      <c r="S13" s="384"/>
      <c r="T13" s="384"/>
    </row>
    <row r="14" spans="1:20" ht="15" thickBot="1" x14ac:dyDescent="0.35">
      <c r="A14" s="381" t="s">
        <v>501</v>
      </c>
      <c r="B14" s="156">
        <v>50570</v>
      </c>
      <c r="C14" s="378">
        <v>50</v>
      </c>
      <c r="D14" s="49"/>
      <c r="E14" s="50"/>
      <c r="O14" s="384"/>
      <c r="P14" s="384"/>
      <c r="S14" s="384"/>
      <c r="T14" s="384"/>
    </row>
    <row r="15" spans="1:20" ht="15" thickBot="1" x14ac:dyDescent="0.35">
      <c r="A15" s="381" t="s">
        <v>1203</v>
      </c>
      <c r="B15" s="156">
        <v>50137</v>
      </c>
      <c r="C15" s="378">
        <v>50</v>
      </c>
      <c r="D15" s="49"/>
      <c r="E15" s="50"/>
      <c r="O15" s="384"/>
      <c r="P15" s="384"/>
      <c r="S15" s="384"/>
      <c r="T15" s="384"/>
    </row>
    <row r="16" spans="1:20" ht="15" thickBot="1" x14ac:dyDescent="0.35">
      <c r="A16" s="381" t="s">
        <v>1204</v>
      </c>
      <c r="B16" s="156">
        <v>50549</v>
      </c>
      <c r="C16" s="378">
        <v>50</v>
      </c>
      <c r="D16" s="49"/>
      <c r="E16" s="50"/>
      <c r="O16" s="384"/>
      <c r="P16" s="384"/>
      <c r="S16" s="384"/>
      <c r="T16" s="384"/>
    </row>
    <row r="17" spans="1:20" ht="15" thickBot="1" x14ac:dyDescent="0.35">
      <c r="A17" s="381" t="s">
        <v>1205</v>
      </c>
      <c r="B17" s="156">
        <v>50138</v>
      </c>
      <c r="C17" s="378">
        <v>50</v>
      </c>
      <c r="D17" s="49"/>
      <c r="E17" s="50"/>
      <c r="O17" s="384"/>
      <c r="P17" s="384"/>
      <c r="S17" s="384"/>
      <c r="T17" s="384"/>
    </row>
    <row r="18" spans="1:20" ht="15" thickBot="1" x14ac:dyDescent="0.35">
      <c r="A18" s="381" t="s">
        <v>502</v>
      </c>
      <c r="B18" s="156">
        <v>50139</v>
      </c>
      <c r="C18" s="378">
        <v>50</v>
      </c>
      <c r="D18" s="49"/>
      <c r="E18" s="50"/>
      <c r="O18" s="384"/>
      <c r="P18" s="384"/>
      <c r="S18" s="384"/>
      <c r="T18" s="384"/>
    </row>
    <row r="19" spans="1:20" ht="15" thickBot="1" x14ac:dyDescent="0.35">
      <c r="A19" s="381" t="s">
        <v>1206</v>
      </c>
      <c r="B19" s="156">
        <v>50474</v>
      </c>
      <c r="C19" s="378">
        <v>50</v>
      </c>
      <c r="D19" s="49"/>
      <c r="E19" s="50"/>
      <c r="O19" s="384"/>
      <c r="P19" s="384"/>
      <c r="S19" s="384"/>
      <c r="T19" s="384"/>
    </row>
    <row r="20" spans="1:20" ht="15" thickBot="1" x14ac:dyDescent="0.35">
      <c r="A20" s="381" t="s">
        <v>1207</v>
      </c>
      <c r="B20" s="156">
        <v>50140</v>
      </c>
      <c r="C20" s="378">
        <v>50</v>
      </c>
      <c r="D20" s="49"/>
      <c r="E20" s="50"/>
      <c r="O20" s="384"/>
      <c r="P20" s="384"/>
      <c r="S20" s="384"/>
      <c r="T20" s="384"/>
    </row>
    <row r="21" spans="1:20" ht="15" thickBot="1" x14ac:dyDescent="0.35">
      <c r="A21" s="381" t="s">
        <v>1208</v>
      </c>
      <c r="B21" s="156">
        <v>50141</v>
      </c>
      <c r="C21" s="378">
        <v>50</v>
      </c>
      <c r="D21" s="49"/>
      <c r="E21" s="50"/>
      <c r="O21" s="384"/>
      <c r="P21" s="384"/>
      <c r="S21" s="384"/>
      <c r="T21" s="384"/>
    </row>
    <row r="22" spans="1:20" ht="15" thickBot="1" x14ac:dyDescent="0.35">
      <c r="A22" s="381" t="s">
        <v>503</v>
      </c>
      <c r="B22" s="156">
        <v>50142</v>
      </c>
      <c r="C22" s="378">
        <v>50</v>
      </c>
      <c r="D22" s="49"/>
      <c r="E22" s="50"/>
      <c r="O22" s="384"/>
      <c r="P22" s="384"/>
      <c r="S22" s="384"/>
      <c r="T22" s="384"/>
    </row>
    <row r="23" spans="1:20" ht="15" thickBot="1" x14ac:dyDescent="0.35">
      <c r="A23" s="381" t="s">
        <v>504</v>
      </c>
      <c r="B23" s="156">
        <v>50143</v>
      </c>
      <c r="C23" s="378">
        <v>50</v>
      </c>
      <c r="D23" s="49"/>
      <c r="E23" s="50"/>
      <c r="O23" s="384"/>
      <c r="P23" s="384"/>
      <c r="S23" s="384"/>
      <c r="T23" s="384"/>
    </row>
    <row r="24" spans="1:20" ht="15" thickBot="1" x14ac:dyDescent="0.35">
      <c r="A24" s="381" t="s">
        <v>1209</v>
      </c>
      <c r="B24" s="156">
        <v>50144</v>
      </c>
      <c r="C24" s="378">
        <v>50</v>
      </c>
      <c r="D24" s="49"/>
      <c r="E24" s="50"/>
      <c r="O24" s="384"/>
      <c r="P24" s="384"/>
      <c r="S24" s="384"/>
      <c r="T24" s="384"/>
    </row>
    <row r="25" spans="1:20" ht="15" thickBot="1" x14ac:dyDescent="0.35">
      <c r="A25" s="381" t="s">
        <v>1210</v>
      </c>
      <c r="B25" s="156">
        <v>50492</v>
      </c>
      <c r="C25" s="378">
        <v>50</v>
      </c>
      <c r="D25" s="49"/>
      <c r="E25" s="50"/>
      <c r="O25" s="384"/>
      <c r="P25" s="384"/>
      <c r="S25" s="384"/>
      <c r="T25" s="384"/>
    </row>
    <row r="26" spans="1:20" ht="15" thickBot="1" x14ac:dyDescent="0.35">
      <c r="A26" s="381" t="s">
        <v>1211</v>
      </c>
      <c r="B26" s="156">
        <v>50145</v>
      </c>
      <c r="C26" s="378">
        <v>50</v>
      </c>
      <c r="D26" s="49"/>
      <c r="E26" s="50"/>
      <c r="O26" s="384"/>
      <c r="P26" s="384"/>
      <c r="S26" s="384"/>
      <c r="T26" s="384"/>
    </row>
    <row r="27" spans="1:20" ht="15" thickBot="1" x14ac:dyDescent="0.35">
      <c r="A27" s="381" t="s">
        <v>1212</v>
      </c>
      <c r="B27" s="156">
        <v>50146</v>
      </c>
      <c r="C27" s="378">
        <v>50</v>
      </c>
      <c r="D27" s="49"/>
      <c r="E27" s="50"/>
      <c r="O27" s="384"/>
      <c r="P27" s="384"/>
      <c r="S27" s="384"/>
      <c r="T27" s="384"/>
    </row>
    <row r="28" spans="1:20" ht="15" thickBot="1" x14ac:dyDescent="0.35">
      <c r="A28" s="381" t="s">
        <v>1213</v>
      </c>
      <c r="B28" s="156">
        <v>50147</v>
      </c>
      <c r="C28" s="378">
        <v>50</v>
      </c>
      <c r="D28" s="49"/>
      <c r="E28" s="50"/>
      <c r="O28" s="384"/>
      <c r="P28" s="384"/>
      <c r="S28" s="384"/>
      <c r="T28" s="384"/>
    </row>
    <row r="29" spans="1:20" ht="15" thickBot="1" x14ac:dyDescent="0.35">
      <c r="A29" s="381" t="s">
        <v>388</v>
      </c>
      <c r="B29" s="156">
        <v>50148</v>
      </c>
      <c r="C29" s="378">
        <v>50</v>
      </c>
      <c r="D29" s="49"/>
      <c r="E29" s="50"/>
      <c r="O29" s="384"/>
      <c r="P29" s="384"/>
      <c r="S29" s="384"/>
      <c r="T29" s="384"/>
    </row>
    <row r="30" spans="1:20" ht="15" thickBot="1" x14ac:dyDescent="0.35">
      <c r="A30" s="381" t="s">
        <v>1214</v>
      </c>
      <c r="B30" s="156">
        <v>50149</v>
      </c>
      <c r="C30" s="378">
        <v>50</v>
      </c>
      <c r="D30" s="49"/>
      <c r="E30" s="50"/>
      <c r="O30" s="384"/>
      <c r="P30" s="384"/>
      <c r="S30" s="384"/>
      <c r="T30" s="384"/>
    </row>
    <row r="31" spans="1:20" ht="15" thickBot="1" x14ac:dyDescent="0.35">
      <c r="A31" s="381" t="s">
        <v>1215</v>
      </c>
      <c r="B31" s="156">
        <v>50150</v>
      </c>
      <c r="C31" s="378">
        <v>50</v>
      </c>
      <c r="D31" s="49"/>
      <c r="E31" s="50"/>
      <c r="O31" s="384"/>
      <c r="P31" s="384"/>
      <c r="S31" s="384"/>
      <c r="T31" s="384"/>
    </row>
    <row r="32" spans="1:20" ht="15" thickBot="1" x14ac:dyDescent="0.35">
      <c r="A32" s="381" t="s">
        <v>815</v>
      </c>
      <c r="B32" s="156">
        <v>50151</v>
      </c>
      <c r="C32" s="378">
        <v>50</v>
      </c>
      <c r="D32" s="49"/>
      <c r="E32" s="50"/>
      <c r="O32" s="384"/>
      <c r="P32" s="384"/>
      <c r="S32" s="384"/>
      <c r="T32" s="384"/>
    </row>
    <row r="33" spans="1:20" ht="15" thickBot="1" x14ac:dyDescent="0.35">
      <c r="A33" s="381" t="s">
        <v>1216</v>
      </c>
      <c r="B33" s="156">
        <v>50152</v>
      </c>
      <c r="C33" s="378">
        <v>50</v>
      </c>
      <c r="D33" s="49"/>
      <c r="E33" s="50"/>
      <c r="O33" s="384"/>
      <c r="P33" s="384"/>
      <c r="S33" s="384"/>
      <c r="T33" s="384"/>
    </row>
    <row r="34" spans="1:20" ht="15" thickBot="1" x14ac:dyDescent="0.35">
      <c r="A34" s="381" t="s">
        <v>505</v>
      </c>
      <c r="B34" s="156">
        <v>50153</v>
      </c>
      <c r="C34" s="378">
        <v>50</v>
      </c>
      <c r="D34" s="49"/>
      <c r="E34" s="50"/>
      <c r="O34" s="384"/>
      <c r="P34" s="384"/>
      <c r="S34" s="384"/>
      <c r="T34" s="384"/>
    </row>
    <row r="35" spans="1:20" ht="15" thickBot="1" x14ac:dyDescent="0.35">
      <c r="A35" s="381" t="s">
        <v>1217</v>
      </c>
      <c r="B35" s="156">
        <v>50475</v>
      </c>
      <c r="C35" s="378">
        <v>50</v>
      </c>
      <c r="D35" s="49"/>
      <c r="E35" s="50"/>
      <c r="O35" s="384"/>
      <c r="P35" s="384"/>
      <c r="S35" s="384"/>
      <c r="T35" s="384"/>
    </row>
    <row r="36" spans="1:20" ht="15" thickBot="1" x14ac:dyDescent="0.35">
      <c r="A36" s="381" t="s">
        <v>506</v>
      </c>
      <c r="B36" s="156">
        <v>50154</v>
      </c>
      <c r="C36" s="378">
        <v>50</v>
      </c>
      <c r="D36" s="49"/>
      <c r="E36" s="50"/>
      <c r="O36" s="384"/>
      <c r="P36" s="384"/>
      <c r="S36" s="384"/>
      <c r="T36" s="384"/>
    </row>
    <row r="37" spans="1:20" ht="15" thickBot="1" x14ac:dyDescent="0.35">
      <c r="A37" s="381" t="s">
        <v>1218</v>
      </c>
      <c r="B37" s="156">
        <v>50155</v>
      </c>
      <c r="C37" s="378">
        <v>50</v>
      </c>
      <c r="D37" s="49"/>
      <c r="E37" s="50"/>
      <c r="O37" s="384"/>
      <c r="P37" s="384"/>
      <c r="S37" s="384"/>
      <c r="T37" s="384"/>
    </row>
    <row r="38" spans="1:20" ht="15" thickBot="1" x14ac:dyDescent="0.35">
      <c r="A38" s="381" t="s">
        <v>1055</v>
      </c>
      <c r="B38" s="156">
        <v>50156</v>
      </c>
      <c r="C38" s="378">
        <v>50</v>
      </c>
      <c r="D38" s="49"/>
      <c r="E38" s="50"/>
      <c r="O38" s="384"/>
      <c r="P38" s="384"/>
      <c r="S38" s="384"/>
      <c r="T38" s="384"/>
    </row>
    <row r="39" spans="1:20" ht="15" thickBot="1" x14ac:dyDescent="0.35">
      <c r="A39" s="381" t="s">
        <v>1219</v>
      </c>
      <c r="B39" s="156">
        <v>50516</v>
      </c>
      <c r="C39" s="378">
        <v>50</v>
      </c>
      <c r="D39" s="49"/>
      <c r="E39" s="50"/>
      <c r="O39" s="384"/>
      <c r="P39" s="384"/>
      <c r="S39" s="384"/>
      <c r="T39" s="384"/>
    </row>
    <row r="40" spans="1:20" ht="15" thickBot="1" x14ac:dyDescent="0.35">
      <c r="A40" s="381" t="s">
        <v>1220</v>
      </c>
      <c r="B40" s="156">
        <v>50157</v>
      </c>
      <c r="C40" s="378">
        <v>50</v>
      </c>
      <c r="D40" s="49"/>
      <c r="E40" s="50"/>
      <c r="O40" s="384"/>
      <c r="P40" s="384"/>
      <c r="S40" s="384"/>
      <c r="T40" s="384"/>
    </row>
    <row r="41" spans="1:20" ht="15" thickBot="1" x14ac:dyDescent="0.35">
      <c r="A41" s="381" t="s">
        <v>1221</v>
      </c>
      <c r="B41" s="156">
        <v>50158</v>
      </c>
      <c r="C41" s="378">
        <v>50</v>
      </c>
      <c r="D41" s="49"/>
      <c r="E41" s="50"/>
      <c r="O41" s="384"/>
      <c r="P41" s="384"/>
      <c r="S41" s="384"/>
      <c r="T41" s="384"/>
    </row>
    <row r="42" spans="1:20" ht="15" thickBot="1" x14ac:dyDescent="0.35">
      <c r="A42" s="381" t="s">
        <v>1222</v>
      </c>
      <c r="B42" s="156">
        <v>50545</v>
      </c>
      <c r="C42" s="378">
        <v>50</v>
      </c>
      <c r="D42" s="49"/>
      <c r="E42" s="50"/>
      <c r="O42" s="384"/>
      <c r="P42" s="384"/>
      <c r="S42" s="384"/>
      <c r="T42" s="384"/>
    </row>
    <row r="43" spans="1:20" ht="15" thickBot="1" x14ac:dyDescent="0.35">
      <c r="A43" s="381" t="s">
        <v>816</v>
      </c>
      <c r="B43" s="156">
        <v>50517</v>
      </c>
      <c r="C43" s="378">
        <v>50</v>
      </c>
      <c r="D43" s="49"/>
      <c r="E43" s="50"/>
      <c r="O43" s="384"/>
      <c r="P43" s="384"/>
      <c r="S43" s="384"/>
      <c r="T43" s="384"/>
    </row>
    <row r="44" spans="1:20" ht="15" thickBot="1" x14ac:dyDescent="0.35">
      <c r="A44" s="381" t="s">
        <v>507</v>
      </c>
      <c r="B44" s="156">
        <v>50448</v>
      </c>
      <c r="C44" s="378">
        <v>50</v>
      </c>
      <c r="D44" s="49"/>
      <c r="E44" s="50"/>
      <c r="O44" s="384"/>
      <c r="P44" s="384"/>
      <c r="S44" s="384"/>
      <c r="T44" s="384"/>
    </row>
    <row r="45" spans="1:20" ht="15" thickBot="1" x14ac:dyDescent="0.35">
      <c r="A45" s="381" t="s">
        <v>394</v>
      </c>
      <c r="B45" s="156">
        <v>50159</v>
      </c>
      <c r="C45" s="378">
        <v>50</v>
      </c>
      <c r="D45" s="49"/>
      <c r="E45" s="50"/>
      <c r="O45" s="384"/>
      <c r="P45" s="384"/>
      <c r="S45" s="384"/>
      <c r="T45" s="384"/>
    </row>
    <row r="46" spans="1:20" ht="15" thickBot="1" x14ac:dyDescent="0.35">
      <c r="A46" s="381" t="s">
        <v>395</v>
      </c>
      <c r="B46" s="156">
        <v>50160</v>
      </c>
      <c r="C46" s="378">
        <v>50</v>
      </c>
      <c r="D46" s="49"/>
      <c r="E46" s="50"/>
      <c r="O46" s="384"/>
      <c r="P46" s="384"/>
      <c r="S46" s="384"/>
      <c r="T46" s="384"/>
    </row>
    <row r="47" spans="1:20" ht="15" thickBot="1" x14ac:dyDescent="0.35">
      <c r="A47" s="381" t="s">
        <v>1223</v>
      </c>
      <c r="B47" s="156">
        <v>50161</v>
      </c>
      <c r="C47" s="378">
        <v>50</v>
      </c>
      <c r="D47" s="49"/>
      <c r="E47" s="50"/>
      <c r="O47" s="384"/>
      <c r="P47" s="384"/>
      <c r="S47" s="384"/>
      <c r="T47" s="384"/>
    </row>
    <row r="48" spans="1:20" ht="15" thickBot="1" x14ac:dyDescent="0.35">
      <c r="A48" s="381" t="s">
        <v>1224</v>
      </c>
      <c r="B48" s="156">
        <v>50162</v>
      </c>
      <c r="C48" s="378">
        <v>50</v>
      </c>
      <c r="D48" s="49"/>
      <c r="E48" s="50"/>
      <c r="O48" s="384"/>
      <c r="P48" s="384"/>
      <c r="S48" s="384"/>
      <c r="T48" s="384"/>
    </row>
    <row r="49" spans="1:20" ht="15" thickBot="1" x14ac:dyDescent="0.35">
      <c r="A49" s="381" t="s">
        <v>508</v>
      </c>
      <c r="B49" s="156">
        <v>50163</v>
      </c>
      <c r="C49" s="378">
        <v>50</v>
      </c>
      <c r="D49" s="49"/>
      <c r="E49" s="50"/>
      <c r="O49" s="384"/>
      <c r="P49" s="384"/>
      <c r="S49" s="384"/>
      <c r="T49" s="384"/>
    </row>
    <row r="50" spans="1:20" ht="15" thickBot="1" x14ac:dyDescent="0.35">
      <c r="A50" s="381" t="s">
        <v>509</v>
      </c>
      <c r="B50" s="156">
        <v>50165</v>
      </c>
      <c r="C50" s="378">
        <v>50</v>
      </c>
      <c r="D50" s="49"/>
      <c r="E50" s="50"/>
      <c r="O50" s="384"/>
      <c r="P50" s="384"/>
      <c r="S50" s="384"/>
      <c r="T50" s="384"/>
    </row>
    <row r="51" spans="1:20" ht="15" thickBot="1" x14ac:dyDescent="0.35">
      <c r="A51" s="381" t="s">
        <v>510</v>
      </c>
      <c r="B51" s="156">
        <v>50166</v>
      </c>
      <c r="C51" s="378">
        <v>50</v>
      </c>
      <c r="D51" s="49"/>
      <c r="E51" s="50"/>
      <c r="O51" s="384"/>
      <c r="P51" s="384"/>
      <c r="S51" s="384"/>
      <c r="T51" s="384"/>
    </row>
    <row r="52" spans="1:20" ht="15" thickBot="1" x14ac:dyDescent="0.35">
      <c r="A52" s="381" t="s">
        <v>511</v>
      </c>
      <c r="B52" s="156">
        <v>50167</v>
      </c>
      <c r="C52" s="378">
        <v>50</v>
      </c>
      <c r="D52" s="49"/>
      <c r="E52" s="50"/>
      <c r="O52" s="384"/>
      <c r="P52" s="384"/>
      <c r="S52" s="384"/>
      <c r="T52" s="384"/>
    </row>
    <row r="53" spans="1:20" ht="15" thickBot="1" x14ac:dyDescent="0.35">
      <c r="A53" s="381" t="s">
        <v>1225</v>
      </c>
      <c r="B53" s="156">
        <v>50168</v>
      </c>
      <c r="C53" s="378">
        <v>50</v>
      </c>
      <c r="D53" s="49"/>
      <c r="E53" s="50"/>
      <c r="O53" s="384"/>
      <c r="P53" s="384"/>
      <c r="S53" s="384"/>
      <c r="T53" s="384"/>
    </row>
    <row r="54" spans="1:20" ht="15" thickBot="1" x14ac:dyDescent="0.35">
      <c r="A54" s="381" t="s">
        <v>1226</v>
      </c>
      <c r="B54" s="156">
        <v>50169</v>
      </c>
      <c r="C54" s="378">
        <v>50</v>
      </c>
      <c r="D54" s="49"/>
      <c r="E54" s="50"/>
      <c r="O54" s="384"/>
      <c r="P54" s="384"/>
      <c r="S54" s="384"/>
      <c r="T54" s="384"/>
    </row>
    <row r="55" spans="1:20" ht="15" thickBot="1" x14ac:dyDescent="0.35">
      <c r="A55" s="381" t="s">
        <v>1227</v>
      </c>
      <c r="B55" s="156">
        <v>50170</v>
      </c>
      <c r="C55" s="378">
        <v>50</v>
      </c>
      <c r="D55" s="49"/>
      <c r="E55" s="50"/>
      <c r="O55" s="384"/>
      <c r="P55" s="384"/>
      <c r="S55" s="384"/>
      <c r="T55" s="384"/>
    </row>
    <row r="56" spans="1:20" ht="15" thickBot="1" x14ac:dyDescent="0.35">
      <c r="A56" s="381" t="s">
        <v>1228</v>
      </c>
      <c r="B56" s="156">
        <v>50451</v>
      </c>
      <c r="C56" s="378">
        <v>50</v>
      </c>
      <c r="D56" s="49"/>
      <c r="E56" s="50"/>
      <c r="O56" s="384"/>
      <c r="P56" s="384"/>
      <c r="S56" s="384"/>
      <c r="T56" s="384"/>
    </row>
    <row r="57" spans="1:20" ht="15" thickBot="1" x14ac:dyDescent="0.35">
      <c r="A57" s="381" t="s">
        <v>817</v>
      </c>
      <c r="B57" s="156">
        <v>50171</v>
      </c>
      <c r="C57" s="378">
        <v>50</v>
      </c>
      <c r="D57" s="49"/>
      <c r="E57" s="50"/>
      <c r="O57" s="384"/>
      <c r="P57" s="384"/>
      <c r="S57" s="384"/>
      <c r="T57" s="384"/>
    </row>
    <row r="58" spans="1:20" ht="15" thickBot="1" x14ac:dyDescent="0.35">
      <c r="A58" s="381" t="s">
        <v>1229</v>
      </c>
      <c r="B58" s="156">
        <v>50172</v>
      </c>
      <c r="C58" s="378">
        <v>50</v>
      </c>
      <c r="D58" s="49"/>
      <c r="E58" s="50"/>
      <c r="O58" s="384"/>
      <c r="P58" s="384"/>
      <c r="S58" s="384"/>
      <c r="T58" s="384"/>
    </row>
    <row r="59" spans="1:20" ht="15" thickBot="1" x14ac:dyDescent="0.35">
      <c r="A59" s="381" t="s">
        <v>818</v>
      </c>
      <c r="B59" s="156">
        <v>50440</v>
      </c>
      <c r="C59" s="378">
        <v>50</v>
      </c>
      <c r="D59" s="49"/>
      <c r="E59" s="50"/>
      <c r="O59" s="384"/>
      <c r="P59" s="384"/>
      <c r="S59" s="384"/>
      <c r="T59" s="384"/>
    </row>
    <row r="60" spans="1:20" ht="15" thickBot="1" x14ac:dyDescent="0.35">
      <c r="A60" s="381" t="s">
        <v>1230</v>
      </c>
      <c r="B60" s="156">
        <v>50173</v>
      </c>
      <c r="C60" s="378">
        <v>50</v>
      </c>
      <c r="D60" s="49"/>
      <c r="E60" s="50"/>
      <c r="O60" s="384"/>
      <c r="P60" s="384"/>
      <c r="S60" s="384"/>
      <c r="T60" s="384"/>
    </row>
    <row r="61" spans="1:20" ht="15" thickBot="1" x14ac:dyDescent="0.35">
      <c r="A61" s="381" t="s">
        <v>1231</v>
      </c>
      <c r="B61" s="156">
        <v>50547</v>
      </c>
      <c r="C61" s="378">
        <v>50</v>
      </c>
      <c r="D61" s="49"/>
      <c r="E61" s="50"/>
      <c r="O61" s="384"/>
      <c r="P61" s="384"/>
      <c r="S61" s="384"/>
      <c r="T61" s="384"/>
    </row>
    <row r="62" spans="1:20" ht="15" thickBot="1" x14ac:dyDescent="0.35">
      <c r="A62" s="381" t="s">
        <v>389</v>
      </c>
      <c r="B62" s="156">
        <v>50175</v>
      </c>
      <c r="C62" s="378">
        <v>50</v>
      </c>
      <c r="D62" s="49"/>
      <c r="E62" s="50"/>
      <c r="O62" s="384"/>
      <c r="P62" s="384"/>
      <c r="S62" s="384"/>
      <c r="T62" s="384"/>
    </row>
    <row r="63" spans="1:20" ht="15" thickBot="1" x14ac:dyDescent="0.35">
      <c r="A63" s="381" t="s">
        <v>1232</v>
      </c>
      <c r="B63" s="156">
        <v>50176</v>
      </c>
      <c r="C63" s="378">
        <v>50</v>
      </c>
      <c r="D63" s="49"/>
      <c r="E63" s="50"/>
      <c r="O63" s="384"/>
      <c r="P63" s="384"/>
      <c r="S63" s="384"/>
      <c r="T63" s="384"/>
    </row>
    <row r="64" spans="1:20" ht="15" thickBot="1" x14ac:dyDescent="0.35">
      <c r="A64" s="381" t="s">
        <v>819</v>
      </c>
      <c r="B64" s="156">
        <v>50177</v>
      </c>
      <c r="C64" s="378">
        <v>50</v>
      </c>
      <c r="D64" s="49"/>
      <c r="E64" s="50"/>
      <c r="O64" s="384"/>
      <c r="P64" s="384"/>
      <c r="S64" s="384"/>
      <c r="T64" s="384"/>
    </row>
    <row r="65" spans="1:20" ht="15" thickBot="1" x14ac:dyDescent="0.35">
      <c r="A65" s="381" t="s">
        <v>1233</v>
      </c>
      <c r="B65" s="156">
        <v>50178</v>
      </c>
      <c r="C65" s="378">
        <v>50</v>
      </c>
      <c r="D65" s="49"/>
      <c r="E65" s="50"/>
      <c r="O65" s="384"/>
      <c r="P65" s="384"/>
      <c r="S65" s="384"/>
      <c r="T65" s="384"/>
    </row>
    <row r="66" spans="1:20" ht="15" thickBot="1" x14ac:dyDescent="0.35">
      <c r="A66" s="381" t="s">
        <v>396</v>
      </c>
      <c r="B66" s="156">
        <v>50180</v>
      </c>
      <c r="C66" s="378">
        <v>50</v>
      </c>
      <c r="D66" s="49"/>
      <c r="E66" s="50"/>
      <c r="O66" s="384"/>
      <c r="P66" s="384"/>
      <c r="S66" s="384"/>
      <c r="T66" s="384"/>
    </row>
    <row r="67" spans="1:20" ht="15" thickBot="1" x14ac:dyDescent="0.35">
      <c r="A67" s="381" t="s">
        <v>1234</v>
      </c>
      <c r="B67" s="156">
        <v>50447</v>
      </c>
      <c r="C67" s="378">
        <v>50</v>
      </c>
      <c r="D67" s="49"/>
      <c r="E67" s="50"/>
      <c r="O67" s="384"/>
      <c r="P67" s="384"/>
      <c r="S67" s="384"/>
      <c r="T67" s="384"/>
    </row>
    <row r="68" spans="1:20" ht="15" thickBot="1" x14ac:dyDescent="0.35">
      <c r="A68" s="381" t="s">
        <v>1235</v>
      </c>
      <c r="B68" s="156">
        <v>50179</v>
      </c>
      <c r="C68" s="378">
        <v>50</v>
      </c>
      <c r="D68" s="49"/>
      <c r="E68" s="50"/>
      <c r="O68" s="384"/>
      <c r="P68" s="384"/>
      <c r="S68" s="384"/>
      <c r="T68" s="384"/>
    </row>
    <row r="69" spans="1:20" x14ac:dyDescent="0.3">
      <c r="A69" s="382" t="s">
        <v>1236</v>
      </c>
      <c r="B69" s="382">
        <v>50462</v>
      </c>
      <c r="C69" s="378">
        <v>50</v>
      </c>
    </row>
    <row r="70" spans="1:20" x14ac:dyDescent="0.3">
      <c r="A70" s="382" t="s">
        <v>1237</v>
      </c>
      <c r="B70" s="382">
        <v>50181</v>
      </c>
      <c r="C70" s="378">
        <v>50</v>
      </c>
    </row>
    <row r="71" spans="1:20" x14ac:dyDescent="0.3">
      <c r="A71" s="382" t="s">
        <v>1238</v>
      </c>
      <c r="B71" s="382">
        <v>50182</v>
      </c>
      <c r="C71" s="378">
        <v>50</v>
      </c>
    </row>
    <row r="72" spans="1:20" x14ac:dyDescent="0.3">
      <c r="A72" s="382" t="s">
        <v>512</v>
      </c>
      <c r="B72" s="382">
        <v>50183</v>
      </c>
      <c r="C72" s="378">
        <v>50</v>
      </c>
    </row>
    <row r="73" spans="1:20" x14ac:dyDescent="0.3">
      <c r="A73" s="382" t="s">
        <v>1239</v>
      </c>
      <c r="B73" s="382">
        <v>50446</v>
      </c>
      <c r="C73" s="378">
        <v>50</v>
      </c>
    </row>
    <row r="74" spans="1:20" x14ac:dyDescent="0.3">
      <c r="A74" s="382" t="s">
        <v>513</v>
      </c>
      <c r="B74" s="382">
        <v>50184</v>
      </c>
      <c r="C74" s="378">
        <v>50</v>
      </c>
    </row>
    <row r="75" spans="1:20" x14ac:dyDescent="0.3">
      <c r="A75" s="382" t="s">
        <v>1240</v>
      </c>
      <c r="B75" s="382">
        <v>50185</v>
      </c>
      <c r="C75" s="378">
        <v>50</v>
      </c>
    </row>
    <row r="76" spans="1:20" x14ac:dyDescent="0.3">
      <c r="A76" s="382" t="s">
        <v>514</v>
      </c>
      <c r="B76" s="382">
        <v>50186</v>
      </c>
      <c r="C76" s="378">
        <v>50</v>
      </c>
    </row>
    <row r="77" spans="1:20" x14ac:dyDescent="0.3">
      <c r="A77" s="382" t="s">
        <v>1241</v>
      </c>
      <c r="B77" s="382">
        <v>50187</v>
      </c>
      <c r="C77" s="378">
        <v>50</v>
      </c>
    </row>
    <row r="78" spans="1:20" x14ac:dyDescent="0.3">
      <c r="A78" s="382" t="s">
        <v>1242</v>
      </c>
      <c r="B78" s="382">
        <v>50188</v>
      </c>
      <c r="C78" s="378">
        <v>50</v>
      </c>
    </row>
    <row r="79" spans="1:20" x14ac:dyDescent="0.3">
      <c r="A79" s="382" t="s">
        <v>1056</v>
      </c>
      <c r="B79" s="382">
        <v>50189</v>
      </c>
      <c r="C79" s="378">
        <v>50</v>
      </c>
    </row>
    <row r="80" spans="1:20" x14ac:dyDescent="0.3">
      <c r="A80" s="382" t="s">
        <v>1243</v>
      </c>
      <c r="B80" s="382">
        <v>50190</v>
      </c>
      <c r="C80" s="378">
        <v>50</v>
      </c>
    </row>
    <row r="81" spans="3:3" x14ac:dyDescent="0.3">
      <c r="C81" s="378"/>
    </row>
    <row r="82" spans="3:3" x14ac:dyDescent="0.3">
      <c r="C82" s="378"/>
    </row>
    <row r="83" spans="3:3" x14ac:dyDescent="0.3">
      <c r="C83" s="378"/>
    </row>
    <row r="84" spans="3:3" x14ac:dyDescent="0.3">
      <c r="C84" s="378"/>
    </row>
    <row r="85" spans="3:3" x14ac:dyDescent="0.3">
      <c r="C85" s="378"/>
    </row>
    <row r="86" spans="3:3" x14ac:dyDescent="0.3">
      <c r="C86" s="378"/>
    </row>
    <row r="87" spans="3:3" x14ac:dyDescent="0.3">
      <c r="C87" s="378"/>
    </row>
    <row r="88" spans="3:3" x14ac:dyDescent="0.3">
      <c r="C88" s="378"/>
    </row>
    <row r="89" spans="3:3" x14ac:dyDescent="0.3">
      <c r="C89" s="378"/>
    </row>
    <row r="90" spans="3:3" x14ac:dyDescent="0.3">
      <c r="C90" s="378"/>
    </row>
    <row r="91" spans="3:3" x14ac:dyDescent="0.3">
      <c r="C91" s="378"/>
    </row>
    <row r="92" spans="3:3" x14ac:dyDescent="0.3">
      <c r="C92" s="378"/>
    </row>
    <row r="93" spans="3:3" x14ac:dyDescent="0.3">
      <c r="C93" s="378"/>
    </row>
    <row r="94" spans="3:3" x14ac:dyDescent="0.3">
      <c r="C94" s="378"/>
    </row>
    <row r="95" spans="3:3" x14ac:dyDescent="0.3">
      <c r="C95" s="378"/>
    </row>
  </sheetData>
  <sheetProtection algorithmName="SHA-512" hashValue="HS/XgWsQYY3utuUHDnbdZAyovHd4xmihnLl5Cc3DPboqAe7EwDWHtA9S+b5R6vUswoPTJyeMz+wgwzhLOQynLQ==" saltValue="nqYJVU4LjXT4/uq2VNWzF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I406"/>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9.6640625" style="277" customWidth="1"/>
    <col min="2" max="2" width="20.6640625" style="5" customWidth="1"/>
    <col min="3" max="3" width="17.44140625" style="5" customWidth="1"/>
    <col min="4" max="4" width="46.33203125" style="384" customWidth="1"/>
    <col min="5" max="5" width="17.109375" style="18" customWidth="1"/>
    <col min="6" max="6" width="21.5546875" style="384" customWidth="1"/>
    <col min="7" max="7" width="26.6640625" style="449" customWidth="1"/>
    <col min="8" max="8" width="24.33203125" style="309" customWidth="1"/>
    <col min="9" max="10" width="24" style="384" customWidth="1"/>
    <col min="11" max="11" width="17.33203125" style="18" customWidth="1"/>
    <col min="12" max="12" width="11.6640625" style="18" hidden="1" customWidth="1"/>
    <col min="13" max="13" width="4" hidden="1" customWidth="1"/>
    <col min="14" max="14" width="11" style="18" hidden="1" customWidth="1"/>
    <col min="15" max="15" width="3.33203125" style="186" hidden="1" customWidth="1"/>
    <col min="16" max="16" width="2.109375" style="18" hidden="1" customWidth="1"/>
    <col min="17" max="17" width="13.44140625" style="18" hidden="1" customWidth="1"/>
    <col min="18" max="18" width="13.109375" style="18" customWidth="1"/>
    <col min="19" max="25" width="9.109375" style="18"/>
    <col min="26" max="26" width="8.88671875" customWidth="1"/>
    <col min="27" max="29" width="10.5546875" customWidth="1"/>
    <col min="30" max="96" width="20.6640625" customWidth="1"/>
    <col min="124" max="1881" width="9.109375" style="18"/>
    <col min="1882" max="16384" width="9.109375" style="384"/>
  </cols>
  <sheetData>
    <row r="1" spans="1:123" ht="15" thickBot="1" x14ac:dyDescent="0.35">
      <c r="B1" s="451" t="s">
        <v>386</v>
      </c>
      <c r="C1" s="451"/>
      <c r="E1" s="385" t="s">
        <v>35</v>
      </c>
      <c r="F1" s="386">
        <v>2024</v>
      </c>
      <c r="G1" s="115" t="s">
        <v>118</v>
      </c>
      <c r="H1" s="387"/>
      <c r="I1" s="388"/>
      <c r="J1" s="388"/>
      <c r="K1" s="389"/>
      <c r="N1" s="18" t="s">
        <v>50</v>
      </c>
      <c r="P1" s="18">
        <v>1</v>
      </c>
      <c r="Q1" s="18" t="s">
        <v>1061</v>
      </c>
    </row>
    <row r="2" spans="1:123" ht="44.25" customHeight="1" thickBot="1" x14ac:dyDescent="0.35">
      <c r="B2" s="1064" t="s">
        <v>282</v>
      </c>
      <c r="C2" s="1065"/>
      <c r="D2" s="390" t="s">
        <v>798</v>
      </c>
      <c r="E2" s="1062" t="s">
        <v>294</v>
      </c>
      <c r="F2" s="1062"/>
      <c r="G2" s="1063"/>
      <c r="H2" s="1035" t="s">
        <v>2755</v>
      </c>
      <c r="N2" s="18" t="s">
        <v>51</v>
      </c>
      <c r="O2" s="186">
        <v>50</v>
      </c>
      <c r="P2" s="18">
        <v>2</v>
      </c>
      <c r="Q2" s="18">
        <v>9004</v>
      </c>
    </row>
    <row r="3" spans="1:123" ht="15" thickBot="1" x14ac:dyDescent="0.35">
      <c r="B3" s="452" t="s">
        <v>0</v>
      </c>
      <c r="C3" s="453"/>
      <c r="D3" s="392" t="e">
        <f>VLOOKUP(D2,'Unit Names(H)'!A2:B139,2,FALSE)</f>
        <v>#N/A</v>
      </c>
      <c r="E3" s="523"/>
      <c r="F3" s="393"/>
      <c r="G3" s="394"/>
      <c r="H3" s="391"/>
      <c r="O3" s="186">
        <v>51</v>
      </c>
      <c r="P3" s="18">
        <v>3</v>
      </c>
    </row>
    <row r="4" spans="1:123" ht="15" thickBot="1" x14ac:dyDescent="0.35">
      <c r="B4" s="454" t="s">
        <v>665</v>
      </c>
      <c r="C4" s="455"/>
      <c r="D4" s="395"/>
      <c r="E4" s="395"/>
      <c r="F4" s="396"/>
      <c r="G4" s="397"/>
      <c r="H4" s="391"/>
      <c r="I4" s="2"/>
      <c r="J4" s="2"/>
      <c r="N4" s="18" t="s">
        <v>322</v>
      </c>
      <c r="O4" s="186">
        <v>52</v>
      </c>
      <c r="P4" s="18">
        <v>4</v>
      </c>
    </row>
    <row r="5" spans="1:123" ht="37.5" customHeight="1" thickBot="1" x14ac:dyDescent="0.35">
      <c r="A5" s="373" t="s">
        <v>383</v>
      </c>
      <c r="B5" s="945" t="s">
        <v>103</v>
      </c>
      <c r="C5" s="945" t="s">
        <v>120</v>
      </c>
      <c r="D5" s="946" t="s">
        <v>1</v>
      </c>
      <c r="E5" s="946">
        <v>2023</v>
      </c>
      <c r="F5" s="398">
        <v>2024</v>
      </c>
      <c r="G5" s="947" t="s">
        <v>773</v>
      </c>
      <c r="H5" s="399" t="s">
        <v>298</v>
      </c>
      <c r="I5" s="386" t="s">
        <v>13</v>
      </c>
      <c r="J5" s="386"/>
      <c r="N5" s="18" t="s">
        <v>427</v>
      </c>
    </row>
    <row r="6" spans="1:123" ht="48" customHeight="1" thickBot="1" x14ac:dyDescent="0.4">
      <c r="A6" s="373"/>
      <c r="B6" s="1071" t="s">
        <v>1880</v>
      </c>
      <c r="C6" s="1072"/>
      <c r="D6" s="1072"/>
      <c r="E6" s="1072"/>
      <c r="F6" s="1072"/>
      <c r="G6" s="1073"/>
      <c r="H6" s="937"/>
      <c r="I6" s="386"/>
      <c r="J6" s="386"/>
      <c r="M6" s="180"/>
      <c r="N6" s="342" t="s">
        <v>461</v>
      </c>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row>
    <row r="7" spans="1:123" ht="72" customHeight="1" thickBot="1" x14ac:dyDescent="0.4">
      <c r="A7" s="373"/>
      <c r="B7" s="1071" t="s">
        <v>1915</v>
      </c>
      <c r="C7" s="1072"/>
      <c r="D7" s="1072"/>
      <c r="E7" s="1072"/>
      <c r="F7" s="1072"/>
      <c r="G7" s="1073"/>
      <c r="H7" s="937"/>
      <c r="I7" s="386"/>
      <c r="J7" s="386"/>
      <c r="M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0"/>
      <c r="AY7" s="180"/>
      <c r="AZ7" s="180"/>
      <c r="BA7" s="180"/>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c r="CK7" s="180"/>
      <c r="CL7" s="180"/>
      <c r="CM7" s="180"/>
      <c r="CN7" s="180"/>
      <c r="CO7" s="180"/>
      <c r="CP7" s="180"/>
      <c r="CQ7" s="180"/>
      <c r="CR7" s="180"/>
      <c r="CS7" s="180"/>
      <c r="CT7" s="180"/>
      <c r="CU7" s="180"/>
      <c r="CV7" s="180"/>
      <c r="CW7" s="180"/>
      <c r="CX7" s="180"/>
      <c r="CY7" s="180"/>
      <c r="CZ7" s="180"/>
      <c r="DA7" s="180"/>
      <c r="DB7" s="180"/>
      <c r="DC7" s="180"/>
      <c r="DD7" s="180"/>
      <c r="DE7" s="180"/>
      <c r="DF7" s="180"/>
      <c r="DG7" s="180"/>
      <c r="DH7" s="180"/>
      <c r="DI7" s="180"/>
      <c r="DJ7" s="180"/>
      <c r="DK7" s="180"/>
      <c r="DL7" s="180"/>
      <c r="DM7" s="180"/>
      <c r="DN7" s="180"/>
      <c r="DO7" s="180"/>
      <c r="DP7" s="180"/>
      <c r="DQ7" s="180"/>
      <c r="DR7" s="180"/>
      <c r="DS7" s="180"/>
    </row>
    <row r="8" spans="1:123" ht="31.2" customHeight="1" x14ac:dyDescent="0.3">
      <c r="B8" s="478" t="s">
        <v>119</v>
      </c>
      <c r="C8" s="479"/>
      <c r="D8" s="480"/>
      <c r="E8" s="481"/>
      <c r="F8" s="482"/>
      <c r="G8" s="474"/>
      <c r="H8" s="17"/>
      <c r="K8" s="760"/>
      <c r="N8" s="18" t="s">
        <v>410</v>
      </c>
    </row>
    <row r="9" spans="1:123" s="18" customFormat="1" ht="72.599999999999994" customHeight="1" x14ac:dyDescent="0.3">
      <c r="A9" s="550">
        <v>333</v>
      </c>
      <c r="B9" s="373" t="s">
        <v>66</v>
      </c>
      <c r="C9" s="373" t="s">
        <v>121</v>
      </c>
      <c r="D9" s="383" t="s">
        <v>666</v>
      </c>
      <c r="E9" s="371" t="e">
        <f>INDEX('PY1 Data(H)'!$A$1:$CZ$265,MATCH('Unit Data from Audit Worksheet'!$A9,'PY1 Data(H)'!$A$1:$A$258,0),MATCH('Unit Data from Audit Worksheet'!$D$2,'PY1 Data(H)'!$A$1:$CZ$1,0))</f>
        <v>#N/A</v>
      </c>
      <c r="F9" s="793">
        <v>0</v>
      </c>
      <c r="G9" s="401">
        <f>IF(F9&lt;0,"Note: Number is normally positive.",)</f>
        <v>0</v>
      </c>
      <c r="H9" s="402"/>
      <c r="I9" s="402"/>
      <c r="J9" s="403"/>
      <c r="K9" s="292"/>
      <c r="L9" s="547"/>
      <c r="M9"/>
      <c r="N9" s="18" t="s">
        <v>428</v>
      </c>
      <c r="O9" s="186"/>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row>
    <row r="10" spans="1:123" s="18" customFormat="1" ht="51" customHeight="1" x14ac:dyDescent="0.3">
      <c r="A10" s="100">
        <v>500</v>
      </c>
      <c r="B10" s="373" t="s">
        <v>54</v>
      </c>
      <c r="C10" s="373" t="s">
        <v>121</v>
      </c>
      <c r="D10" s="383" t="s">
        <v>667</v>
      </c>
      <c r="E10" s="371" t="e">
        <f>INDEX('PY1 Data(H)'!$A$1:$CZ$265,MATCH('Unit Data from Audit Worksheet'!$A10,'PY1 Data(H)'!$A$1:$A$258,0),MATCH('Unit Data from Audit Worksheet'!$D$2,'PY1 Data(H)'!$A$1:$CZ$1,0))</f>
        <v>#N/A</v>
      </c>
      <c r="F10" s="793">
        <v>0</v>
      </c>
      <c r="G10" s="401">
        <f>IF(F10&lt;0,"Note: Number is normally positive.",)</f>
        <v>0</v>
      </c>
      <c r="H10" s="402"/>
      <c r="I10" s="402"/>
      <c r="J10" s="402"/>
      <c r="K10" s="292"/>
      <c r="L10" s="547"/>
      <c r="M10"/>
      <c r="N10" s="18" t="s">
        <v>429</v>
      </c>
      <c r="O10" s="186"/>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row>
    <row r="11" spans="1:123" ht="51" customHeight="1" x14ac:dyDescent="0.3">
      <c r="A11" s="561">
        <v>385</v>
      </c>
      <c r="B11" s="4" t="s">
        <v>59</v>
      </c>
      <c r="C11" s="373" t="s">
        <v>121</v>
      </c>
      <c r="D11" s="99" t="s">
        <v>122</v>
      </c>
      <c r="E11" s="371" t="e">
        <f>INDEX('PY1 Data(H)'!$A$1:$CZ$265,MATCH('Unit Data from Audit Worksheet'!$A11,'PY1 Data(H)'!$A$1:$A$258,0),MATCH('Unit Data from Audit Worksheet'!$D$2,'PY1 Data(H)'!$A$1:$CZ$1,0))-INDEX('PY1 Data(H)'!$A$1:$CZ$258,MATCH('Unit Data from Audit Worksheet'!$A13,'PY1 Data(H)'!$A$1:$A$258,0),MATCH('Unit Data from Audit Worksheet'!$D$2,'PY1 Data(H)'!$A$1:$CZ$1,0))</f>
        <v>#N/A</v>
      </c>
      <c r="F11" s="793">
        <v>0</v>
      </c>
      <c r="G11" s="401">
        <f>IF((F9+F10)&gt;F11,"Error: Please review Account numbers (333+500)&gt;385",)</f>
        <v>0</v>
      </c>
      <c r="H11" s="402"/>
      <c r="I11" s="402"/>
      <c r="J11" s="402"/>
      <c r="K11"/>
      <c r="L11" s="547"/>
    </row>
    <row r="12" spans="1:123" s="18" customFormat="1" ht="90" customHeight="1" x14ac:dyDescent="0.3">
      <c r="A12" s="100">
        <v>575</v>
      </c>
      <c r="B12" s="373" t="s">
        <v>69</v>
      </c>
      <c r="C12" s="373" t="s">
        <v>121</v>
      </c>
      <c r="D12" s="456" t="s">
        <v>668</v>
      </c>
      <c r="E12" s="371" t="e">
        <f>INDEX('PY1 Data(H)'!$A$1:$CZ$265,MATCH('Unit Data from Audit Worksheet'!$A12,'PY1 Data(H)'!$A$1:$A$258,0),MATCH('Unit Data from Audit Worksheet'!$D$2,'PY1 Data(H)'!$A$1:$CZ$1,0))</f>
        <v>#N/A</v>
      </c>
      <c r="F12" s="793">
        <v>0</v>
      </c>
      <c r="G12" s="401">
        <f>IF(F12&lt;0,"Note: Number is normally positive.",)</f>
        <v>0</v>
      </c>
      <c r="H12" s="404"/>
      <c r="I12" s="405"/>
      <c r="J12" s="405"/>
      <c r="K12"/>
      <c r="L12" s="547"/>
      <c r="M12"/>
      <c r="O12" s="186"/>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row>
    <row r="13" spans="1:123" s="18" customFormat="1" ht="93.75" customHeight="1" x14ac:dyDescent="0.3">
      <c r="A13" s="100">
        <v>576</v>
      </c>
      <c r="B13" s="373" t="s">
        <v>69</v>
      </c>
      <c r="C13" s="373" t="s">
        <v>121</v>
      </c>
      <c r="D13" s="456" t="s">
        <v>669</v>
      </c>
      <c r="E13" s="371" t="e">
        <f>INDEX('PY1 Data(H)'!$A$1:$CZ$265,MATCH('Unit Data from Audit Worksheet'!$A13,'PY1 Data(H)'!$A$1:$A$258,0),MATCH('Unit Data from Audit Worksheet'!$D$2,'PY1 Data(H)'!$A$1:$CZ$1,0))</f>
        <v>#N/A</v>
      </c>
      <c r="F13" s="793">
        <v>0</v>
      </c>
      <c r="G13" s="401">
        <f>IF(F13&lt;0,"Error: Enter as positive.",)</f>
        <v>0</v>
      </c>
      <c r="H13" s="404"/>
      <c r="I13" s="405"/>
      <c r="J13" s="405"/>
      <c r="K13"/>
      <c r="L13" s="547"/>
      <c r="M13"/>
      <c r="O13" s="186"/>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row>
    <row r="14" spans="1:123" ht="85.5" customHeight="1" x14ac:dyDescent="0.3">
      <c r="A14" s="562">
        <v>626</v>
      </c>
      <c r="B14" s="460" t="s">
        <v>442</v>
      </c>
      <c r="C14" s="460" t="s">
        <v>121</v>
      </c>
      <c r="D14" s="214" t="s">
        <v>670</v>
      </c>
      <c r="E14" s="371" t="e">
        <f>INDEX('PY1 Data(H)'!$A$1:$CZ$265,MATCH('Unit Data from Audit Worksheet'!$A14,'PY1 Data(H)'!$A$1:$A$258,0),MATCH('Unit Data from Audit Worksheet'!$D$2,'PY1 Data(H)'!$A$1:$CZ$1,0))-INDEX('PY1 Data(H)'!$A$1:$CZ$258,MATCH('Unit Data from Audit Worksheet'!$A13,'PY1 Data(H)'!$A$1:$A$258,0),MATCH('Unit Data from Audit Worksheet'!$D$2,'PY1 Data(H)'!$A$1:$CZ$1,0))</f>
        <v>#N/A</v>
      </c>
      <c r="F14" s="793">
        <v>0</v>
      </c>
      <c r="G14" s="401">
        <f>IF(F14&lt;0,"Error: Enter as positive.",)</f>
        <v>0</v>
      </c>
      <c r="H14" s="406"/>
      <c r="I14" s="406"/>
      <c r="J14" s="761"/>
      <c r="K14"/>
      <c r="L14" s="547"/>
    </row>
    <row r="15" spans="1:123" ht="89.25" customHeight="1" x14ac:dyDescent="0.3">
      <c r="A15" s="189">
        <v>627</v>
      </c>
      <c r="B15" s="461" t="s">
        <v>358</v>
      </c>
      <c r="C15" s="460" t="s">
        <v>121</v>
      </c>
      <c r="D15" s="214" t="s">
        <v>671</v>
      </c>
      <c r="E15" s="371" t="e">
        <f>INDEX('PY1 Data(H)'!$A$1:$CZ$265,MATCH('Unit Data from Audit Worksheet'!$A15,'PY1 Data(H)'!$A$1:$A$258,0),MATCH('Unit Data from Audit Worksheet'!$D$2,'PY1 Data(H)'!$A$1:$CZ$1,0))</f>
        <v>#N/A</v>
      </c>
      <c r="F15" s="793">
        <v>0</v>
      </c>
      <c r="G15" s="401">
        <f>IF(F15&gt;F14,"Please review account numbers 627 &gt;626",)</f>
        <v>0</v>
      </c>
      <c r="H15" s="406"/>
      <c r="I15" s="406"/>
      <c r="J15" s="761"/>
      <c r="K15"/>
      <c r="L15" s="547"/>
    </row>
    <row r="16" spans="1:123" ht="105" customHeight="1" x14ac:dyDescent="0.3">
      <c r="A16" s="189">
        <v>628</v>
      </c>
      <c r="B16" s="461" t="s">
        <v>358</v>
      </c>
      <c r="C16" s="460" t="s">
        <v>121</v>
      </c>
      <c r="D16" s="214" t="s">
        <v>672</v>
      </c>
      <c r="E16" s="371" t="e">
        <f>INDEX('PY1 Data(H)'!$A$1:$CZ$265,MATCH('Unit Data from Audit Worksheet'!$A16,'PY1 Data(H)'!$A$1:$A$258,0),MATCH('Unit Data from Audit Worksheet'!$D$2,'PY1 Data(H)'!$A$1:$CZ$1,0))</f>
        <v>#N/A</v>
      </c>
      <c r="F16" s="793">
        <v>0</v>
      </c>
      <c r="G16" s="401">
        <f>IF(F16&gt;F14,"Please review account numbers 628 &gt; 626",)</f>
        <v>0</v>
      </c>
      <c r="H16" s="406"/>
      <c r="I16" s="406"/>
      <c r="J16" s="761"/>
      <c r="K16"/>
      <c r="L16" s="547"/>
    </row>
    <row r="17" spans="1:12" ht="95.25" customHeight="1" x14ac:dyDescent="0.3">
      <c r="A17" s="189">
        <v>629</v>
      </c>
      <c r="B17" s="461" t="s">
        <v>358</v>
      </c>
      <c r="C17" s="460" t="s">
        <v>121</v>
      </c>
      <c r="D17" s="214" t="s">
        <v>673</v>
      </c>
      <c r="E17" s="371" t="e">
        <f>INDEX('PY1 Data(H)'!$A$1:$CZ$265,MATCH('Unit Data from Audit Worksheet'!$A17,'PY1 Data(H)'!$A$1:$A$258,0),MATCH('Unit Data from Audit Worksheet'!$D$2,'PY1 Data(H)'!$A$1:$CZ$1,0))</f>
        <v>#N/A</v>
      </c>
      <c r="F17" s="793">
        <v>0</v>
      </c>
      <c r="G17" s="401">
        <f>IF(F17&gt;F14,"Please review account numbers 629 &gt; 626",)</f>
        <v>0</v>
      </c>
      <c r="H17" s="406"/>
      <c r="I17" s="406"/>
      <c r="J17" s="761"/>
      <c r="K17"/>
      <c r="L17" s="547"/>
    </row>
    <row r="18" spans="1:12" ht="69" customHeight="1" x14ac:dyDescent="0.3">
      <c r="A18" s="189">
        <v>630</v>
      </c>
      <c r="B18" s="461" t="s">
        <v>358</v>
      </c>
      <c r="C18" s="460" t="s">
        <v>121</v>
      </c>
      <c r="D18" s="214" t="s">
        <v>423</v>
      </c>
      <c r="E18" s="371" t="e">
        <f>INDEX('PY1 Data(H)'!$A$1:$CZ$265,MATCH('Unit Data from Audit Worksheet'!$A18,'PY1 Data(H)'!$A$1:$A$258,0),MATCH('Unit Data from Audit Worksheet'!$D$2,'PY1 Data(H)'!$A$1:$CZ$1,0))</f>
        <v>#N/A</v>
      </c>
      <c r="F18" s="793">
        <v>0</v>
      </c>
      <c r="G18" s="401">
        <f>IF(F18&gt;F14,"Please review account numbers 630 &gt; 626",)</f>
        <v>0</v>
      </c>
      <c r="H18" s="406"/>
      <c r="I18" s="406"/>
      <c r="J18" s="761"/>
      <c r="K18"/>
      <c r="L18" s="547"/>
    </row>
    <row r="19" spans="1:12" ht="95.25" customHeight="1" x14ac:dyDescent="0.3">
      <c r="A19" s="189">
        <v>631</v>
      </c>
      <c r="B19" s="461" t="s">
        <v>358</v>
      </c>
      <c r="C19" s="460" t="s">
        <v>121</v>
      </c>
      <c r="D19" s="214" t="s">
        <v>674</v>
      </c>
      <c r="E19" s="371" t="e">
        <f>INDEX('PY1 Data(H)'!$A$1:$CZ$265,MATCH('Unit Data from Audit Worksheet'!$A19,'PY1 Data(H)'!$A$1:$A$258,0),MATCH('Unit Data from Audit Worksheet'!$D$2,'PY1 Data(H)'!$A$1:$CZ$1,0))</f>
        <v>#N/A</v>
      </c>
      <c r="F19" s="793">
        <v>0</v>
      </c>
      <c r="G19" s="401">
        <f>IF(F19&gt;F14,"Please review account numbers 631 &gt; 626",)</f>
        <v>0</v>
      </c>
      <c r="H19" s="406"/>
      <c r="I19" s="406"/>
      <c r="J19" s="761"/>
      <c r="K19"/>
      <c r="L19" s="547"/>
    </row>
    <row r="20" spans="1:12" ht="111.75" customHeight="1" x14ac:dyDescent="0.3">
      <c r="A20" s="189">
        <v>632</v>
      </c>
      <c r="B20" s="461" t="s">
        <v>358</v>
      </c>
      <c r="C20" s="460" t="s">
        <v>121</v>
      </c>
      <c r="D20" s="214" t="s">
        <v>675</v>
      </c>
      <c r="E20" s="371" t="e">
        <f>INDEX('PY1 Data(H)'!$A$1:$CZ$265,MATCH('Unit Data from Audit Worksheet'!$A20,'PY1 Data(H)'!$A$1:$A$258,0),MATCH('Unit Data from Audit Worksheet'!$D$2,'PY1 Data(H)'!$A$1:$CZ$1,0))</f>
        <v>#N/A</v>
      </c>
      <c r="F20" s="793">
        <v>0</v>
      </c>
      <c r="G20" s="401">
        <f>IF(F20&gt;F14,"Please review account numbers 632 &gt; 626",)</f>
        <v>0</v>
      </c>
      <c r="H20" s="406"/>
      <c r="I20" s="406"/>
      <c r="J20" s="761"/>
      <c r="K20"/>
      <c r="L20" s="547"/>
    </row>
    <row r="21" spans="1:12" ht="55.5" customHeight="1" x14ac:dyDescent="0.3">
      <c r="A21" s="561">
        <v>338</v>
      </c>
      <c r="B21" s="4" t="s">
        <v>55</v>
      </c>
      <c r="C21" s="373" t="s">
        <v>121</v>
      </c>
      <c r="D21" s="99" t="s">
        <v>123</v>
      </c>
      <c r="E21" s="371" t="e">
        <f>INDEX('PY1 Data(H)'!$A$1:$CZ$265,MATCH('Unit Data from Audit Worksheet'!$A21,'PY1 Data(H)'!$A$1:$A$258,0),MATCH('Unit Data from Audit Worksheet'!$D$2,'PY1 Data(H)'!$A$1:$CZ$1,0))-INDEX('PY1 Data(H)'!$A$1:$CZ$258,MATCH('Unit Data from Audit Worksheet'!$A13,'PY1 Data(H)'!$A$1:$A$258,0),MATCH('Unit Data from Audit Worksheet'!$D$2,'PY1 Data(H)'!$A$1:$CZ$1,0))</f>
        <v>#N/A</v>
      </c>
      <c r="F21" s="793">
        <v>0</v>
      </c>
      <c r="G21" s="401" t="str">
        <f>IF(F14&gt;F21,"Error: Please review accts 626 &gt; 338","")</f>
        <v/>
      </c>
      <c r="H21" s="402"/>
      <c r="I21" s="402"/>
      <c r="J21" s="402"/>
      <c r="K21"/>
      <c r="L21" s="547"/>
    </row>
    <row r="22" spans="1:12" ht="89.25" customHeight="1" x14ac:dyDescent="0.3">
      <c r="A22" s="100">
        <v>335</v>
      </c>
      <c r="B22" s="4" t="s">
        <v>55</v>
      </c>
      <c r="C22" s="373" t="s">
        <v>121</v>
      </c>
      <c r="D22" s="383" t="s">
        <v>676</v>
      </c>
      <c r="E22" s="371" t="e">
        <f>INDEX('PY1 Data(H)'!$A$1:$CZ$265,MATCH('Unit Data from Audit Worksheet'!$A22,'PY1 Data(H)'!$A$1:$A$258,0),MATCH('Unit Data from Audit Worksheet'!$D$2,'PY1 Data(H)'!$A$1:$CZ$1,0))</f>
        <v>#N/A</v>
      </c>
      <c r="F22" s="793">
        <v>0</v>
      </c>
      <c r="G22" s="401">
        <f>IF(F22&lt;0,"Error: Enter as positive.",)</f>
        <v>0</v>
      </c>
      <c r="H22" s="402"/>
      <c r="I22" s="242"/>
      <c r="J22" s="242"/>
      <c r="K22"/>
      <c r="L22" s="547"/>
    </row>
    <row r="23" spans="1:12" ht="48.75" customHeight="1" x14ac:dyDescent="0.3">
      <c r="A23" s="100">
        <v>252</v>
      </c>
      <c r="B23" s="4" t="s">
        <v>55</v>
      </c>
      <c r="C23" s="373" t="s">
        <v>121</v>
      </c>
      <c r="D23" s="99" t="s">
        <v>124</v>
      </c>
      <c r="E23" s="371" t="e">
        <f>INDEX('PY1 Data(H)'!$A$1:$CZ$265,MATCH('Unit Data from Audit Worksheet'!$A23,'PY1 Data(H)'!$A$1:$A$258,0),MATCH('Unit Data from Audit Worksheet'!$D$2,'PY1 Data(H)'!$A$1:$CZ$1,0))</f>
        <v>#N/A</v>
      </c>
      <c r="F23" s="793">
        <v>0</v>
      </c>
      <c r="G23" s="724"/>
      <c r="H23" s="402"/>
      <c r="I23" s="17"/>
      <c r="J23" s="72"/>
      <c r="K23"/>
      <c r="L23" s="547"/>
    </row>
    <row r="24" spans="1:12" ht="43.2" x14ac:dyDescent="0.3">
      <c r="A24" s="100">
        <v>253</v>
      </c>
      <c r="B24" s="4" t="s">
        <v>55</v>
      </c>
      <c r="C24" s="373" t="s">
        <v>121</v>
      </c>
      <c r="D24" s="99" t="s">
        <v>125</v>
      </c>
      <c r="E24" s="371" t="e">
        <f>INDEX('PY1 Data(H)'!$A$1:$CZ$265,MATCH('Unit Data from Audit Worksheet'!$A24,'PY1 Data(H)'!$A$1:$A$258,0),MATCH('Unit Data from Audit Worksheet'!$D$2,'PY1 Data(H)'!$A$1:$CZ$1,0))</f>
        <v>#N/A</v>
      </c>
      <c r="F24" s="793">
        <v>0</v>
      </c>
      <c r="G24" s="401"/>
      <c r="H24" s="402"/>
      <c r="I24" s="17"/>
      <c r="J24" s="72"/>
      <c r="K24"/>
      <c r="L24" s="547"/>
    </row>
    <row r="25" spans="1:12" ht="138" customHeight="1" x14ac:dyDescent="0.3">
      <c r="A25" s="100">
        <v>254</v>
      </c>
      <c r="B25" s="4" t="s">
        <v>55</v>
      </c>
      <c r="C25" s="373" t="s">
        <v>121</v>
      </c>
      <c r="D25" s="99" t="s">
        <v>677</v>
      </c>
      <c r="E25" s="371" t="e">
        <f>INDEX('PY1 Data(H)'!$A$1:$CZ$265,MATCH('Unit Data from Audit Worksheet'!$A25,'PY1 Data(H)'!$A$1:$A$258,0),MATCH('Unit Data from Audit Worksheet'!$D$2,'PY1 Data(H)'!$A$1:$CZ$1,0))</f>
        <v>#N/A</v>
      </c>
      <c r="F25" s="793">
        <v>0</v>
      </c>
      <c r="G25" s="401">
        <f>IF(H25=0,,"Error: Total assets and deferred outflows less total liabilities and deferred inflows do not equal total net position. Account numbers  385-338-252-253-254 = 0.  The amount the formula is off is located in the cell to the right")</f>
        <v>0</v>
      </c>
      <c r="H25" s="404">
        <f>F11-F21-F23-F24-F25</f>
        <v>0</v>
      </c>
      <c r="I25" s="17"/>
      <c r="J25" s="72"/>
      <c r="K25"/>
      <c r="L25" s="547"/>
    </row>
    <row r="26" spans="1:12" ht="21.75" customHeight="1" x14ac:dyDescent="0.3">
      <c r="A26" s="100"/>
      <c r="B26" s="489" t="s">
        <v>126</v>
      </c>
      <c r="C26" s="499"/>
      <c r="D26" s="472"/>
      <c r="E26" s="483"/>
      <c r="F26" s="483"/>
      <c r="G26" s="484"/>
      <c r="H26" s="17"/>
      <c r="I26" s="17"/>
      <c r="J26" s="72"/>
      <c r="K26"/>
      <c r="L26" s="547"/>
    </row>
    <row r="27" spans="1:12" ht="59.25" customHeight="1" x14ac:dyDescent="0.3">
      <c r="A27" s="100">
        <v>502</v>
      </c>
      <c r="B27" s="4" t="s">
        <v>54</v>
      </c>
      <c r="C27" s="373" t="s">
        <v>128</v>
      </c>
      <c r="D27" s="383" t="s">
        <v>678</v>
      </c>
      <c r="E27" s="371" t="e">
        <f>INDEX('PY1 Data(H)'!$A$1:$CZ$265,MATCH('Unit Data from Audit Worksheet'!$A27,'PY1 Data(H)'!$A$1:$A$258,0),MATCH('Unit Data from Audit Worksheet'!$D$2,'PY1 Data(H)'!$A$1:$CZ$1,0))</f>
        <v>#N/A</v>
      </c>
      <c r="F27" s="793">
        <v>0</v>
      </c>
      <c r="G27" s="401">
        <f>IF(F27&lt;0,"Note: Number is normally positive.",)</f>
        <v>0</v>
      </c>
      <c r="H27" s="17"/>
      <c r="I27" s="17"/>
      <c r="J27" s="72"/>
      <c r="K27"/>
      <c r="L27" s="547"/>
    </row>
    <row r="28" spans="1:12" ht="59.25" customHeight="1" x14ac:dyDescent="0.3">
      <c r="A28" s="100">
        <v>503</v>
      </c>
      <c r="B28" s="4" t="s">
        <v>54</v>
      </c>
      <c r="C28" s="373" t="s">
        <v>128</v>
      </c>
      <c r="D28" s="99" t="s">
        <v>127</v>
      </c>
      <c r="E28" s="371" t="e">
        <f>INDEX('PY1 Data(H)'!$A$1:$CZ$265,MATCH('Unit Data from Audit Worksheet'!$A28,'PY1 Data(H)'!$A$1:$A$258,0),MATCH('Unit Data from Audit Worksheet'!$D$2,'PY1 Data(H)'!$A$1:$CZ$1,0))</f>
        <v>#N/A</v>
      </c>
      <c r="F28" s="793">
        <v>0</v>
      </c>
      <c r="G28" s="401">
        <f>IF(F28&lt;0,"Note: Number is normally positive.",)</f>
        <v>0</v>
      </c>
      <c r="H28" s="17"/>
      <c r="I28" s="17"/>
      <c r="J28" s="72"/>
      <c r="K28"/>
      <c r="L28" s="547"/>
    </row>
    <row r="29" spans="1:12" ht="27" customHeight="1" x14ac:dyDescent="0.3">
      <c r="A29" s="100"/>
      <c r="B29" s="489" t="s">
        <v>129</v>
      </c>
      <c r="C29" s="499"/>
      <c r="D29" s="472"/>
      <c r="E29" s="473"/>
      <c r="F29" s="473"/>
      <c r="G29" s="474"/>
      <c r="H29" s="17"/>
      <c r="I29" s="17"/>
      <c r="J29" s="72"/>
      <c r="K29"/>
      <c r="L29" s="547"/>
    </row>
    <row r="30" spans="1:12" ht="49.5" customHeight="1" x14ac:dyDescent="0.3">
      <c r="A30" s="100">
        <v>344</v>
      </c>
      <c r="B30" s="4" t="s">
        <v>55</v>
      </c>
      <c r="C30" s="4" t="s">
        <v>136</v>
      </c>
      <c r="D30" s="99" t="s">
        <v>130</v>
      </c>
      <c r="E30" s="371" t="e">
        <f>INDEX('PY1 Data(H)'!$A$1:$CZ$265,MATCH('Unit Data from Audit Worksheet'!$A30,'PY1 Data(H)'!$A$1:$A$258,0),MATCH('Unit Data from Audit Worksheet'!$D$2,'PY1 Data(H)'!$A$1:$CZ$1,0))</f>
        <v>#N/A</v>
      </c>
      <c r="F30" s="793">
        <v>0</v>
      </c>
      <c r="G30" s="401">
        <f t="shared" ref="G30:G37" si="0">IF(F30&lt;0,"Error: Enter as positive.",)</f>
        <v>0</v>
      </c>
      <c r="H30" s="17"/>
      <c r="I30" s="17"/>
      <c r="J30" s="72"/>
      <c r="K30"/>
      <c r="L30" s="547"/>
    </row>
    <row r="31" spans="1:12" ht="49.5" customHeight="1" x14ac:dyDescent="0.3">
      <c r="A31" s="100">
        <v>388</v>
      </c>
      <c r="B31" s="4" t="s">
        <v>59</v>
      </c>
      <c r="C31" s="4" t="s">
        <v>136</v>
      </c>
      <c r="D31" s="99" t="s">
        <v>131</v>
      </c>
      <c r="E31" s="371" t="e">
        <f>INDEX('PY1 Data(H)'!$A$1:$CZ$265,MATCH('Unit Data from Audit Worksheet'!$A31,'PY1 Data(H)'!$A$1:$A$258,0),MATCH('Unit Data from Audit Worksheet'!$D$2,'PY1 Data(H)'!$A$1:$CZ$1,0))</f>
        <v>#N/A</v>
      </c>
      <c r="F31" s="793">
        <v>0</v>
      </c>
      <c r="G31" s="401">
        <f t="shared" si="0"/>
        <v>0</v>
      </c>
      <c r="H31" s="17"/>
      <c r="I31" s="17"/>
      <c r="J31" s="72"/>
      <c r="K31"/>
      <c r="L31" s="547"/>
    </row>
    <row r="32" spans="1:12" ht="51.75" customHeight="1" x14ac:dyDescent="0.3">
      <c r="A32" s="100">
        <v>339</v>
      </c>
      <c r="B32" s="4" t="s">
        <v>55</v>
      </c>
      <c r="C32" s="4" t="s">
        <v>136</v>
      </c>
      <c r="D32" s="99" t="s">
        <v>132</v>
      </c>
      <c r="E32" s="371" t="e">
        <f>INDEX('PY1 Data(H)'!$A$1:$CZ$265,MATCH('Unit Data from Audit Worksheet'!$A32,'PY1 Data(H)'!$A$1:$A$258,0),MATCH('Unit Data from Audit Worksheet'!$D$2,'PY1 Data(H)'!$A$1:$CZ$1,0))</f>
        <v>#N/A</v>
      </c>
      <c r="F32" s="793">
        <v>0</v>
      </c>
      <c r="G32" s="401">
        <f t="shared" si="0"/>
        <v>0</v>
      </c>
      <c r="H32" s="17"/>
      <c r="I32" s="17"/>
      <c r="J32" s="72"/>
      <c r="K32"/>
      <c r="L32" s="547"/>
    </row>
    <row r="33" spans="1:123" ht="50.25" customHeight="1" x14ac:dyDescent="0.3">
      <c r="A33" s="100">
        <v>504</v>
      </c>
      <c r="B33" s="4" t="s">
        <v>55</v>
      </c>
      <c r="C33" s="4" t="s">
        <v>136</v>
      </c>
      <c r="D33" s="99" t="s">
        <v>133</v>
      </c>
      <c r="E33" s="371" t="e">
        <f>INDEX('PY1 Data(H)'!$A$1:$CZ$265,MATCH('Unit Data from Audit Worksheet'!$A33,'PY1 Data(H)'!$A$1:$A$258,0),MATCH('Unit Data from Audit Worksheet'!$D$2,'PY1 Data(H)'!$A$1:$CZ$1,0))</f>
        <v>#N/A</v>
      </c>
      <c r="F33" s="793">
        <v>0</v>
      </c>
      <c r="G33" s="401">
        <f t="shared" si="0"/>
        <v>0</v>
      </c>
      <c r="H33" s="17"/>
      <c r="I33" s="17"/>
      <c r="J33" s="72"/>
      <c r="K33"/>
      <c r="L33" s="547"/>
    </row>
    <row r="34" spans="1:123" ht="60" customHeight="1" x14ac:dyDescent="0.3">
      <c r="A34" s="100">
        <v>505</v>
      </c>
      <c r="B34" s="4" t="s">
        <v>55</v>
      </c>
      <c r="C34" s="4" t="s">
        <v>136</v>
      </c>
      <c r="D34" s="377" t="s">
        <v>134</v>
      </c>
      <c r="E34" s="371" t="e">
        <f>INDEX('PY1 Data(H)'!$A$1:$CZ$265,MATCH('Unit Data from Audit Worksheet'!$A34,'PY1 Data(H)'!$A$1:$A$258,0),MATCH('Unit Data from Audit Worksheet'!$D$2,'PY1 Data(H)'!$A$1:$CZ$1,0))</f>
        <v>#N/A</v>
      </c>
      <c r="F34" s="793">
        <v>0</v>
      </c>
      <c r="G34" s="401">
        <f t="shared" si="0"/>
        <v>0</v>
      </c>
      <c r="H34" s="17"/>
      <c r="I34" s="17"/>
      <c r="J34" s="72"/>
      <c r="K34"/>
      <c r="L34" s="547"/>
    </row>
    <row r="35" spans="1:123" ht="67.95" customHeight="1" x14ac:dyDescent="0.3">
      <c r="A35" s="100">
        <v>341</v>
      </c>
      <c r="B35" s="4" t="s">
        <v>55</v>
      </c>
      <c r="C35" s="4" t="s">
        <v>136</v>
      </c>
      <c r="D35" s="383" t="s">
        <v>679</v>
      </c>
      <c r="E35" s="371" t="e">
        <f>INDEX('PY1 Data(H)'!$A$1:$CZ$265,MATCH('Unit Data from Audit Worksheet'!$A35,'PY1 Data(H)'!$A$1:$A$258,0),MATCH('Unit Data from Audit Worksheet'!$D$2,'PY1 Data(H)'!$A$1:$CZ$1,0))</f>
        <v>#N/A</v>
      </c>
      <c r="F35" s="793">
        <v>0</v>
      </c>
      <c r="G35" s="401">
        <f t="shared" si="0"/>
        <v>0</v>
      </c>
      <c r="H35" s="17"/>
      <c r="I35" s="17"/>
      <c r="J35" s="72"/>
      <c r="K35"/>
      <c r="L35" s="547"/>
    </row>
    <row r="36" spans="1:123" ht="44.25" customHeight="1" x14ac:dyDescent="0.3">
      <c r="A36" s="100">
        <v>386</v>
      </c>
      <c r="B36" s="4" t="s">
        <v>55</v>
      </c>
      <c r="C36" s="4" t="s">
        <v>136</v>
      </c>
      <c r="D36" s="99" t="s">
        <v>680</v>
      </c>
      <c r="E36" s="371" t="e">
        <f>INDEX('PY1 Data(H)'!$A$1:$CZ$265,MATCH('Unit Data from Audit Worksheet'!$A36,'PY1 Data(H)'!$A$1:$A$258,0),MATCH('Unit Data from Audit Worksheet'!$D$2,'PY1 Data(H)'!$A$1:$CZ$1,0))</f>
        <v>#N/A</v>
      </c>
      <c r="F36" s="793">
        <v>0</v>
      </c>
      <c r="G36" s="401">
        <f t="shared" si="0"/>
        <v>0</v>
      </c>
      <c r="H36" s="17"/>
      <c r="I36" s="17"/>
      <c r="J36" s="72"/>
      <c r="K36"/>
      <c r="L36" s="547"/>
    </row>
    <row r="37" spans="1:123" ht="48.75" customHeight="1" x14ac:dyDescent="0.3">
      <c r="A37" s="100">
        <v>387</v>
      </c>
      <c r="B37" s="4" t="s">
        <v>59</v>
      </c>
      <c r="C37" s="4" t="s">
        <v>136</v>
      </c>
      <c r="D37" s="99" t="s">
        <v>681</v>
      </c>
      <c r="E37" s="371" t="e">
        <f>INDEX('PY1 Data(H)'!$A$1:$CZ$265,MATCH('Unit Data from Audit Worksheet'!$A37,'PY1 Data(H)'!$A$1:$A$258,0),MATCH('Unit Data from Audit Worksheet'!$D$2,'PY1 Data(H)'!$A$1:$CZ$1,0))</f>
        <v>#N/A</v>
      </c>
      <c r="F37" s="793">
        <v>0</v>
      </c>
      <c r="G37" s="401">
        <f t="shared" si="0"/>
        <v>0</v>
      </c>
      <c r="H37" s="17"/>
      <c r="I37" s="17"/>
      <c r="J37" s="72"/>
      <c r="K37"/>
      <c r="L37" s="547"/>
    </row>
    <row r="38" spans="1:123" ht="92.25" customHeight="1" x14ac:dyDescent="0.3">
      <c r="A38" s="100">
        <v>389</v>
      </c>
      <c r="B38" s="4" t="s">
        <v>59</v>
      </c>
      <c r="C38" s="4" t="s">
        <v>136</v>
      </c>
      <c r="D38" s="383" t="s">
        <v>682</v>
      </c>
      <c r="E38" s="371" t="e">
        <f>INDEX('PY1 Data(H)'!$A$1:$CZ$265,MATCH('Unit Data from Audit Worksheet'!$A38,'PY1 Data(H)'!$A$1:$A$258,0),MATCH('Unit Data from Audit Worksheet'!$D$2,'PY1 Data(H)'!$A$1:$CZ$1,0))</f>
        <v>#N/A</v>
      </c>
      <c r="F38" s="793">
        <v>0</v>
      </c>
      <c r="G38" s="401"/>
      <c r="H38" s="17"/>
      <c r="I38" s="17"/>
      <c r="J38" s="72"/>
      <c r="K38"/>
      <c r="L38" s="547"/>
    </row>
    <row r="39" spans="1:123" ht="138" customHeight="1" x14ac:dyDescent="0.3">
      <c r="A39" s="100">
        <v>255</v>
      </c>
      <c r="B39" s="4" t="s">
        <v>55</v>
      </c>
      <c r="C39" s="4" t="s">
        <v>136</v>
      </c>
      <c r="D39" s="383" t="s">
        <v>683</v>
      </c>
      <c r="E39" s="371" t="e">
        <f>INDEX('PY1 Data(H)'!$A$1:$CZ$265,MATCH('Unit Data from Audit Worksheet'!$A39,'PY1 Data(H)'!$A$1:$A$258,0),MATCH('Unit Data from Audit Worksheet'!$D$2,'PY1 Data(H)'!$A$1:$CZ$1,0))</f>
        <v>#N/A</v>
      </c>
      <c r="F39" s="793">
        <v>0</v>
      </c>
      <c r="G39" s="401">
        <f>IF(H39=0,,"Error: Total revenues less total expenses do not equal total change in net position. Account numbers 339+504+505+341+386-387+389-388-255 = 0  The amount the formula is off is located in the cell to the right")</f>
        <v>0</v>
      </c>
      <c r="H39" s="404">
        <f>F32+F33+F34+F35+F36-F37+F38-F31-F39</f>
        <v>0</v>
      </c>
      <c r="I39" s="17"/>
      <c r="J39" s="72"/>
      <c r="K39"/>
      <c r="L39" s="547"/>
    </row>
    <row r="40" spans="1:123" ht="138" customHeight="1" x14ac:dyDescent="0.3">
      <c r="A40" s="100">
        <v>376</v>
      </c>
      <c r="B40" s="4" t="s">
        <v>55</v>
      </c>
      <c r="C40" s="4" t="s">
        <v>136</v>
      </c>
      <c r="D40" s="383" t="s">
        <v>684</v>
      </c>
      <c r="E40" s="371" t="e">
        <f>INDEX('PY1 Data(H)'!$A$1:$CZ$265,MATCH('Unit Data from Audit Worksheet'!$A40,'PY1 Data(H)'!$A$1:$A$258,0),MATCH('Unit Data from Audit Worksheet'!$D$2,'PY1 Data(H)'!$A$1:$CZ$1,0))</f>
        <v>#N/A</v>
      </c>
      <c r="F40" s="793">
        <v>0</v>
      </c>
      <c r="G40" s="752" t="e">
        <f>IF(H40=0,,"Error: Beginning Balance does not agree with our records.  Account numbers  252+253+254-255-376-(Prior Year 252+253+254)=0  The amount the formula is off is located in the cell to the right")</f>
        <v>#N/A</v>
      </c>
      <c r="H40" s="753" t="e">
        <f>F23+F24+F25-F39-F40-(E23+E24+E25)</f>
        <v>#N/A</v>
      </c>
      <c r="I40" s="775" t="e">
        <f>IF(H40=0," ","If the out of balance is because prior years data is not populated in cells E23,E24,E25, disregard the error message.  Do not include prior year's ending balances in cell F40")</f>
        <v>#N/A</v>
      </c>
      <c r="J40" s="763"/>
      <c r="K40" s="524"/>
      <c r="L40" s="547"/>
    </row>
    <row r="41" spans="1:123" s="18" customFormat="1" ht="141.75" customHeight="1" x14ac:dyDescent="0.3">
      <c r="A41" s="100">
        <v>597</v>
      </c>
      <c r="B41" s="373" t="s">
        <v>324</v>
      </c>
      <c r="C41" s="373" t="s">
        <v>334</v>
      </c>
      <c r="D41" s="457" t="s">
        <v>685</v>
      </c>
      <c r="E41" s="371" t="e">
        <f>INDEX('PY1 Data(H)'!$A$1:$CZ$265,MATCH('Unit Data from Audit Worksheet'!$A41,'PY1 Data(H)'!$A$1:$A$258,0),MATCH('Unit Data from Audit Worksheet'!$D$2,'PY1 Data(H)'!$A$1:$CZ$1,0))</f>
        <v>#N/A</v>
      </c>
      <c r="F41" s="793">
        <v>0</v>
      </c>
      <c r="G41" s="401">
        <f>IF(F41&lt;0,"Note: Number is normally positive.",)</f>
        <v>0</v>
      </c>
      <c r="H41" s="402"/>
      <c r="I41" s="342"/>
      <c r="J41" s="403"/>
      <c r="K41"/>
      <c r="L41" s="547"/>
      <c r="M41"/>
      <c r="O41" s="186"/>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row>
    <row r="42" spans="1:123" ht="25.5" customHeight="1" x14ac:dyDescent="0.3">
      <c r="A42" s="100"/>
      <c r="B42" s="489" t="s">
        <v>323</v>
      </c>
      <c r="C42" s="499"/>
      <c r="D42" s="472"/>
      <c r="E42" s="473"/>
      <c r="F42" s="473"/>
      <c r="G42" s="474"/>
      <c r="H42" s="17"/>
      <c r="I42" s="17"/>
      <c r="J42" s="72"/>
      <c r="K42"/>
      <c r="L42" s="547"/>
    </row>
    <row r="43" spans="1:123" s="18" customFormat="1" ht="86.25" customHeight="1" x14ac:dyDescent="0.3">
      <c r="A43" s="100">
        <v>592</v>
      </c>
      <c r="B43" s="373" t="s">
        <v>58</v>
      </c>
      <c r="C43" s="373" t="s">
        <v>325</v>
      </c>
      <c r="D43" s="383" t="s">
        <v>686</v>
      </c>
      <c r="E43" s="371" t="e">
        <f>INDEX('PY1 Data(H)'!$A$1:$CZ$265,MATCH('Unit Data from Audit Worksheet'!$A43,'PY1 Data(H)'!$A$1:$A$258,0),MATCH('Unit Data from Audit Worksheet'!$D$2,'PY1 Data(H)'!$A$1:$CZ$1,0))</f>
        <v>#N/A</v>
      </c>
      <c r="F43" s="793">
        <v>0</v>
      </c>
      <c r="G43" s="401"/>
      <c r="H43" s="402"/>
      <c r="I43" s="342"/>
      <c r="K43"/>
      <c r="L43" s="547"/>
      <c r="M43"/>
      <c r="O43" s="186"/>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row>
    <row r="44" spans="1:123" s="18" customFormat="1" ht="71.25" customHeight="1" x14ac:dyDescent="0.3">
      <c r="A44" s="100">
        <v>591</v>
      </c>
      <c r="B44" s="373" t="s">
        <v>58</v>
      </c>
      <c r="C44" s="373" t="s">
        <v>325</v>
      </c>
      <c r="D44" s="99" t="s">
        <v>326</v>
      </c>
      <c r="E44" s="371" t="e">
        <f>INDEX('PY1 Data(H)'!$A$1:$CZ$265,MATCH('Unit Data from Audit Worksheet'!$A44,'PY1 Data(H)'!$A$1:$A$258,0),MATCH('Unit Data from Audit Worksheet'!$D$2,'PY1 Data(H)'!$A$1:$CZ$1,0))</f>
        <v>#N/A</v>
      </c>
      <c r="F44" s="793">
        <v>0</v>
      </c>
      <c r="G44" s="401">
        <f>IF(F44&lt;0,"Error: Enter as positive.",)</f>
        <v>0</v>
      </c>
      <c r="H44" s="402"/>
      <c r="I44" s="342"/>
      <c r="K44"/>
      <c r="L44" s="547"/>
      <c r="M44"/>
      <c r="O44" s="186"/>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row>
    <row r="45" spans="1:123" ht="27" customHeight="1" x14ac:dyDescent="0.3">
      <c r="A45" s="100"/>
      <c r="B45" s="489" t="s">
        <v>137</v>
      </c>
      <c r="C45" s="499"/>
      <c r="D45" s="475"/>
      <c r="E45" s="476"/>
      <c r="F45" s="476"/>
      <c r="G45" s="477"/>
      <c r="H45" s="17"/>
      <c r="I45" s="17"/>
      <c r="J45" s="72"/>
      <c r="K45"/>
      <c r="L45" s="547"/>
    </row>
    <row r="46" spans="1:123" s="18" customFormat="1" ht="55.5" customHeight="1" x14ac:dyDescent="0.3">
      <c r="A46" s="100">
        <v>506</v>
      </c>
      <c r="B46" s="949" t="s">
        <v>1892</v>
      </c>
      <c r="C46" s="458" t="s">
        <v>141</v>
      </c>
      <c r="D46" s="99" t="s">
        <v>687</v>
      </c>
      <c r="E46" s="371" t="e">
        <f>INDEX('PY1 Data(H)'!$A$1:$CZ$265,MATCH('Unit Data from Audit Worksheet'!$A46,'PY1 Data(H)'!$A$1:$A$258,0),MATCH('Unit Data from Audit Worksheet'!$D$2,'PY1 Data(H)'!$A$1:$CZ$1,0))</f>
        <v>#N/A</v>
      </c>
      <c r="F46" s="793">
        <v>0</v>
      </c>
      <c r="G46" s="401">
        <f>IF(F46&lt;0,"Note: Number is normally positive.",)</f>
        <v>0</v>
      </c>
      <c r="H46" s="402"/>
      <c r="I46" s="17"/>
      <c r="J46" s="72"/>
      <c r="K46"/>
      <c r="L46" s="547"/>
      <c r="M46"/>
      <c r="O46" s="18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row>
    <row r="47" spans="1:123" s="18" customFormat="1" ht="63.6" customHeight="1" x14ac:dyDescent="0.3">
      <c r="A47" s="100">
        <v>536</v>
      </c>
      <c r="B47" s="949" t="s">
        <v>1892</v>
      </c>
      <c r="C47" s="458" t="s">
        <v>141</v>
      </c>
      <c r="D47" s="99" t="s">
        <v>138</v>
      </c>
      <c r="E47" s="371" t="e">
        <f>INDEX('PY1 Data(H)'!$A$1:$CZ$265,MATCH('Unit Data from Audit Worksheet'!$A47,'PY1 Data(H)'!$A$1:$A$258,0),MATCH('Unit Data from Audit Worksheet'!$D$2,'PY1 Data(H)'!$A$1:$CZ$1,0))</f>
        <v>#N/A</v>
      </c>
      <c r="F47" s="793">
        <v>0</v>
      </c>
      <c r="G47" s="401">
        <f>IF(F47&lt;0,"Note: Number is normally positive.",)</f>
        <v>0</v>
      </c>
      <c r="H47" s="402"/>
      <c r="I47" s="402"/>
      <c r="J47" s="403"/>
      <c r="K47"/>
      <c r="L47" s="547"/>
      <c r="M47"/>
      <c r="O47" s="186"/>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row>
    <row r="48" spans="1:123" s="18" customFormat="1" ht="51.75" customHeight="1" x14ac:dyDescent="0.3">
      <c r="A48" s="100">
        <v>586</v>
      </c>
      <c r="B48" s="458" t="s">
        <v>58</v>
      </c>
      <c r="C48" s="458" t="s">
        <v>141</v>
      </c>
      <c r="D48" s="376" t="s">
        <v>312</v>
      </c>
      <c r="E48" s="371" t="e">
        <f>INDEX('PY1 Data(H)'!$A$1:$CZ$265,MATCH('Unit Data from Audit Worksheet'!$A48,'PY1 Data(H)'!$A$1:$A$258,0),MATCH('Unit Data from Audit Worksheet'!$D$2,'PY1 Data(H)'!$A$1:$CZ$1,0))</f>
        <v>#N/A</v>
      </c>
      <c r="F48" s="793">
        <v>0</v>
      </c>
      <c r="G48" s="401">
        <f>IF(F48&lt;0,"Note: Number is normally positive.",)</f>
        <v>0</v>
      </c>
      <c r="H48" s="402"/>
      <c r="I48" s="402"/>
      <c r="J48" s="403"/>
      <c r="K48"/>
      <c r="L48" s="547"/>
      <c r="M48"/>
      <c r="O48" s="186"/>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row>
    <row r="49" spans="1:123" ht="37.5" customHeight="1" x14ac:dyDescent="0.3">
      <c r="A49" s="100">
        <v>379</v>
      </c>
      <c r="B49" s="458" t="s">
        <v>59</v>
      </c>
      <c r="C49" s="458" t="s">
        <v>141</v>
      </c>
      <c r="D49" s="99" t="s">
        <v>122</v>
      </c>
      <c r="E49" s="371" t="e">
        <f>INDEX('PY1 Data(H)'!$A$1:$CZ$265,MATCH('Unit Data from Audit Worksheet'!$A49,'PY1 Data(H)'!$A$1:$A$258,0),MATCH('Unit Data from Audit Worksheet'!$D$2,'PY1 Data(H)'!$A$1:$CZ$1,0))</f>
        <v>#N/A</v>
      </c>
      <c r="F49" s="793">
        <v>0</v>
      </c>
      <c r="G49" s="401">
        <f>IF((F46+F47)&gt;F49,"Error: Please review account numbers (506+536)&gt;379",)</f>
        <v>0</v>
      </c>
      <c r="H49" s="402"/>
      <c r="I49" s="17"/>
      <c r="J49" s="72"/>
      <c r="K49"/>
      <c r="L49" s="547"/>
    </row>
    <row r="50" spans="1:123" ht="93" customHeight="1" x14ac:dyDescent="0.3">
      <c r="A50" s="100">
        <v>368</v>
      </c>
      <c r="B50" s="458" t="s">
        <v>1447</v>
      </c>
      <c r="C50" s="458" t="s">
        <v>141</v>
      </c>
      <c r="D50" s="383" t="s">
        <v>688</v>
      </c>
      <c r="E50" s="371" t="e">
        <f>INDEX('PY1 Data(H)'!$A$1:$CZ$265,MATCH('Unit Data from Audit Worksheet'!$A50,'PY1 Data(H)'!$A$1:$A$258,0),MATCH('Unit Data from Audit Worksheet'!$D$2,'PY1 Data(H)'!$A$1:$CZ$1,0))</f>
        <v>#N/A</v>
      </c>
      <c r="F50" s="793">
        <v>0</v>
      </c>
      <c r="G50" s="401">
        <f t="shared" ref="G50:G56" si="1">IF(F50&lt;0,"Error: Enter as positive.",)</f>
        <v>0</v>
      </c>
      <c r="H50" s="402"/>
      <c r="I50" s="402"/>
      <c r="J50" s="402"/>
      <c r="K50"/>
      <c r="L50" s="547"/>
    </row>
    <row r="51" spans="1:123" ht="87" customHeight="1" x14ac:dyDescent="0.3">
      <c r="A51" s="100">
        <v>4</v>
      </c>
      <c r="B51" s="949" t="s">
        <v>1892</v>
      </c>
      <c r="C51" s="458" t="s">
        <v>141</v>
      </c>
      <c r="D51" s="188" t="s">
        <v>689</v>
      </c>
      <c r="E51" s="371" t="e">
        <f>INDEX('PY1 Data(H)'!$A$1:$CZ$265,MATCH('Unit Data from Audit Worksheet'!$A51,'PY1 Data(H)'!$A$1:$A$258,0),MATCH('Unit Data from Audit Worksheet'!$D$2,'PY1 Data(H)'!$A$1:$CZ$1,0))</f>
        <v>#N/A</v>
      </c>
      <c r="F51" s="793">
        <v>0</v>
      </c>
      <c r="G51" s="401">
        <f t="shared" si="1"/>
        <v>0</v>
      </c>
      <c r="H51" s="402"/>
      <c r="I51" s="17"/>
      <c r="J51" s="72"/>
      <c r="K51"/>
      <c r="L51" s="547"/>
    </row>
    <row r="52" spans="1:123" ht="132" customHeight="1" x14ac:dyDescent="0.3">
      <c r="A52" s="100">
        <v>5</v>
      </c>
      <c r="B52" s="949" t="s">
        <v>1892</v>
      </c>
      <c r="C52" s="458" t="s">
        <v>141</v>
      </c>
      <c r="D52" s="211" t="s">
        <v>690</v>
      </c>
      <c r="E52" s="371" t="e">
        <f>INDEX('PY1 Data(H)'!$A$1:$CZ$265,MATCH('Unit Data from Audit Worksheet'!$A52,'PY1 Data(H)'!$A$1:$A$258,0),MATCH('Unit Data from Audit Worksheet'!$D$2,'PY1 Data(H)'!$A$1:$CZ$1,0))</f>
        <v>#N/A</v>
      </c>
      <c r="F52" s="793">
        <v>0</v>
      </c>
      <c r="G52" s="401">
        <f t="shared" si="1"/>
        <v>0</v>
      </c>
      <c r="H52" s="402"/>
      <c r="I52" s="17"/>
      <c r="J52" s="72"/>
      <c r="K52"/>
      <c r="L52" s="547"/>
    </row>
    <row r="53" spans="1:123" ht="93.75" customHeight="1" x14ac:dyDescent="0.3">
      <c r="A53" s="100">
        <v>380</v>
      </c>
      <c r="B53" s="458" t="s">
        <v>59</v>
      </c>
      <c r="C53" s="458" t="s">
        <v>141</v>
      </c>
      <c r="D53" s="211" t="s">
        <v>691</v>
      </c>
      <c r="E53" s="371" t="e">
        <f>INDEX('PY1 Data(H)'!$A$1:$CZ$265,MATCH('Unit Data from Audit Worksheet'!$A53,'PY1 Data(H)'!$A$1:$A$258,0),MATCH('Unit Data from Audit Worksheet'!$D$2,'PY1 Data(H)'!$A$1:$CZ$1,0))</f>
        <v>#N/A</v>
      </c>
      <c r="F53" s="793">
        <v>0</v>
      </c>
      <c r="G53" s="401">
        <f t="shared" si="1"/>
        <v>0</v>
      </c>
      <c r="H53" s="402"/>
      <c r="I53" s="17"/>
      <c r="J53" s="72"/>
      <c r="K53"/>
      <c r="L53" s="547"/>
    </row>
    <row r="54" spans="1:123" ht="48.75" customHeight="1" x14ac:dyDescent="0.3">
      <c r="A54" s="100">
        <v>391</v>
      </c>
      <c r="B54" s="458" t="s">
        <v>68</v>
      </c>
      <c r="C54" s="458" t="s">
        <v>141</v>
      </c>
      <c r="D54" s="99" t="s">
        <v>139</v>
      </c>
      <c r="E54" s="371" t="e">
        <f>INDEX('PY1 Data(H)'!$A$1:$CZ$265,MATCH('Unit Data from Audit Worksheet'!$A54,'PY1 Data(H)'!$A$1:$A$258,0),MATCH('Unit Data from Audit Worksheet'!$D$2,'PY1 Data(H)'!$A$1:$CZ$1,0))</f>
        <v>#N/A</v>
      </c>
      <c r="F54" s="793">
        <v>0</v>
      </c>
      <c r="G54" s="401">
        <f t="shared" si="1"/>
        <v>0</v>
      </c>
      <c r="H54" s="402"/>
      <c r="I54" s="17"/>
      <c r="J54" s="72"/>
      <c r="K54"/>
      <c r="L54" s="547"/>
    </row>
    <row r="55" spans="1:123" ht="51.75" customHeight="1" x14ac:dyDescent="0.3">
      <c r="A55" s="100">
        <v>7</v>
      </c>
      <c r="B55" s="458" t="s">
        <v>68</v>
      </c>
      <c r="C55" s="458" t="s">
        <v>141</v>
      </c>
      <c r="D55" s="99" t="s">
        <v>140</v>
      </c>
      <c r="E55" s="371" t="e">
        <f>INDEX('PY1 Data(H)'!$A$1:$CZ$265,MATCH('Unit Data from Audit Worksheet'!$A55,'PY1 Data(H)'!$A$1:$A$258,0),MATCH('Unit Data from Audit Worksheet'!$D$2,'PY1 Data(H)'!$A$1:$CZ$1,0))</f>
        <v>#N/A</v>
      </c>
      <c r="F55" s="793">
        <v>0</v>
      </c>
      <c r="G55" s="401">
        <f t="shared" si="1"/>
        <v>0</v>
      </c>
      <c r="H55" s="402"/>
      <c r="I55" s="17"/>
      <c r="J55" s="72"/>
      <c r="K55"/>
      <c r="L55" s="547"/>
    </row>
    <row r="56" spans="1:123" ht="83.4" customHeight="1" x14ac:dyDescent="0.3">
      <c r="A56" s="100">
        <v>11</v>
      </c>
      <c r="B56" s="949" t="s">
        <v>1893</v>
      </c>
      <c r="C56" s="458" t="s">
        <v>141</v>
      </c>
      <c r="D56" s="383" t="s">
        <v>692</v>
      </c>
      <c r="E56" s="371" t="e">
        <f>INDEX('PY1 Data(H)'!$A$1:$CZ$265,MATCH('Unit Data from Audit Worksheet'!$A56,'PY1 Data(H)'!$A$1:$A$258,0),MATCH('Unit Data from Audit Worksheet'!$D$2,'PY1 Data(H)'!$A$1:$CZ$1,0))</f>
        <v>#N/A</v>
      </c>
      <c r="F56" s="793">
        <v>0</v>
      </c>
      <c r="G56" s="401">
        <f t="shared" si="1"/>
        <v>0</v>
      </c>
      <c r="H56" s="402"/>
      <c r="I56" s="17"/>
      <c r="J56" s="72"/>
      <c r="K56"/>
      <c r="L56" s="547"/>
    </row>
    <row r="57" spans="1:123" ht="78.75" customHeight="1" x14ac:dyDescent="0.3">
      <c r="A57" s="189">
        <v>645</v>
      </c>
      <c r="B57" s="461" t="s">
        <v>358</v>
      </c>
      <c r="C57" s="461" t="s">
        <v>141</v>
      </c>
      <c r="D57" s="636" t="s">
        <v>384</v>
      </c>
      <c r="E57" s="371" t="e">
        <f>INDEX('PY1 Data(H)'!$A$1:$CZ$265,MATCH('Unit Data from Audit Worksheet'!$A57,'PY1 Data(H)'!$A$1:$A$258,0),MATCH('Unit Data from Audit Worksheet'!$D$2,'PY1 Data(H)'!$A$1:$CZ$1,0))</f>
        <v>#N/A</v>
      </c>
      <c r="F57" s="793">
        <v>0</v>
      </c>
      <c r="G57" s="401">
        <f>IF(F57&lt;0,"Note: Number is normally positive.",)</f>
        <v>0</v>
      </c>
      <c r="H57" s="402"/>
      <c r="I57" s="402"/>
      <c r="J57" s="403"/>
      <c r="K57"/>
      <c r="L57" s="547"/>
    </row>
    <row r="58" spans="1:123" ht="78.75" customHeight="1" x14ac:dyDescent="0.3">
      <c r="A58" s="189">
        <v>646</v>
      </c>
      <c r="B58" s="461" t="s">
        <v>358</v>
      </c>
      <c r="C58" s="461" t="s">
        <v>141</v>
      </c>
      <c r="D58" s="188" t="s">
        <v>359</v>
      </c>
      <c r="E58" s="371" t="e">
        <f>INDEX('PY1 Data(H)'!$A$1:$CZ$265,MATCH('Unit Data from Audit Worksheet'!$A58,'PY1 Data(H)'!$A$1:$A$258,0),MATCH('Unit Data from Audit Worksheet'!$D$2,'PY1 Data(H)'!$A$1:$CZ$1,0))</f>
        <v>#N/A</v>
      </c>
      <c r="F58" s="793">
        <v>0</v>
      </c>
      <c r="G58" s="401">
        <f>IF(F58&lt;0,"Note: Number is normally positive.",)</f>
        <v>0</v>
      </c>
      <c r="H58" s="402"/>
      <c r="I58" s="402"/>
      <c r="J58" s="403"/>
      <c r="K58"/>
      <c r="L58" s="547"/>
    </row>
    <row r="59" spans="1:123" ht="138" customHeight="1" x14ac:dyDescent="0.3">
      <c r="A59" s="100">
        <v>9</v>
      </c>
      <c r="B59" s="949" t="s">
        <v>1896</v>
      </c>
      <c r="C59" s="458" t="s">
        <v>141</v>
      </c>
      <c r="D59" s="383" t="s">
        <v>693</v>
      </c>
      <c r="E59" s="371" t="e">
        <f>INDEX('PY1 Data(H)'!$A$1:$CZ$265,MATCH('Unit Data from Audit Worksheet'!$A59,'PY1 Data(H)'!$A$1:$A$258,0),MATCH('Unit Data from Audit Worksheet'!$D$2,'PY1 Data(H)'!$A$1:$CZ$1,0))</f>
        <v>#N/A</v>
      </c>
      <c r="F59" s="793">
        <v>0</v>
      </c>
      <c r="G59" s="401">
        <f>IF(F49-F51-F52-F53-F59=0,,"Error: Total assets less total liabilities do not equal total fund balance. Account numbers 379-4-5-380-9= 0  The amount of the formula is in the cell to the right")</f>
        <v>0</v>
      </c>
      <c r="H59" s="404">
        <f>F49-F51-F52-F53-F59</f>
        <v>0</v>
      </c>
      <c r="I59" s="17"/>
      <c r="J59" s="72"/>
      <c r="K59"/>
      <c r="L59" s="547"/>
    </row>
    <row r="60" spans="1:123" s="18" customFormat="1" ht="63.75" customHeight="1" x14ac:dyDescent="0.3">
      <c r="A60" s="100">
        <v>540</v>
      </c>
      <c r="B60" s="373" t="s">
        <v>58</v>
      </c>
      <c r="C60" s="373" t="s">
        <v>694</v>
      </c>
      <c r="D60" s="99" t="s">
        <v>385</v>
      </c>
      <c r="E60" s="371" t="e">
        <f>INDEX('PY1 Data(H)'!$A$1:$CZ$265,MATCH('Unit Data from Audit Worksheet'!$A60,'PY1 Data(H)'!$A$1:$A$258,0),MATCH('Unit Data from Audit Worksheet'!$D$2,'PY1 Data(H)'!$A$1:$CZ$1,0))</f>
        <v>#N/A</v>
      </c>
      <c r="F60" s="793">
        <v>0</v>
      </c>
      <c r="G60" s="401"/>
      <c r="H60" s="402"/>
      <c r="I60" s="402"/>
      <c r="J60" s="403"/>
      <c r="K60"/>
      <c r="L60" s="547"/>
      <c r="M60"/>
      <c r="O60" s="186"/>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row>
    <row r="61" spans="1:123" s="18" customFormat="1" ht="63.75" customHeight="1" x14ac:dyDescent="0.3">
      <c r="A61" s="100">
        <v>1052</v>
      </c>
      <c r="B61" s="373" t="s">
        <v>58</v>
      </c>
      <c r="C61" s="778" t="s">
        <v>144</v>
      </c>
      <c r="D61" s="774" t="s">
        <v>1484</v>
      </c>
      <c r="E61" s="371" t="e">
        <f>INDEX('PY1 Data(H)'!$A$1:$CZ$265,MATCH('Unit Data from Audit Worksheet'!$A61,'PY1 Data(H)'!$A$1:$A$258,0),MATCH('Unit Data from Audit Worksheet'!$D$2,'PY1 Data(H)'!$A$1:$CZ$1,0))</f>
        <v>#N/A</v>
      </c>
      <c r="F61" s="793">
        <v>0</v>
      </c>
      <c r="G61" s="401"/>
      <c r="H61" s="402"/>
      <c r="I61" s="402"/>
      <c r="J61" s="403"/>
      <c r="K61" s="180"/>
      <c r="L61" s="547"/>
      <c r="M61" s="180"/>
      <c r="O61" s="186"/>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row>
    <row r="62" spans="1:123" ht="30" customHeight="1" x14ac:dyDescent="0.3">
      <c r="A62" s="100"/>
      <c r="B62" s="489" t="s">
        <v>143</v>
      </c>
      <c r="C62" s="499"/>
      <c r="D62" s="472"/>
      <c r="E62" s="473"/>
      <c r="F62" s="473"/>
      <c r="G62" s="474"/>
      <c r="H62" s="17"/>
      <c r="I62" s="17"/>
      <c r="J62" s="72"/>
      <c r="K62"/>
      <c r="L62" s="547"/>
    </row>
    <row r="63" spans="1:123" ht="82.5" customHeight="1" x14ac:dyDescent="0.3">
      <c r="A63" s="100">
        <v>984</v>
      </c>
      <c r="B63" s="948" t="s">
        <v>1906</v>
      </c>
      <c r="C63" s="373" t="s">
        <v>694</v>
      </c>
      <c r="D63" s="383" t="s">
        <v>774</v>
      </c>
      <c r="E63" s="371" t="e">
        <f>INDEX('PY1 Data(H)'!$A$1:$CZ$265,MATCH('Unit Data from Audit Worksheet'!$A63,'PY1 Data(H)'!$A$1:$A$258,0),MATCH('Unit Data from Audit Worksheet'!$D$2,'PY1 Data(H)'!$A$1:$CZ$1,0))</f>
        <v>#N/A</v>
      </c>
      <c r="F63" s="793">
        <v>0</v>
      </c>
      <c r="G63" s="401"/>
      <c r="H63" s="17"/>
      <c r="I63" s="17"/>
      <c r="J63" s="72"/>
      <c r="K63"/>
      <c r="L63" s="547"/>
    </row>
    <row r="64" spans="1:123" ht="69" customHeight="1" x14ac:dyDescent="0.3">
      <c r="A64" s="100">
        <v>985</v>
      </c>
      <c r="B64" s="948" t="s">
        <v>1906</v>
      </c>
      <c r="C64" s="373" t="s">
        <v>694</v>
      </c>
      <c r="D64" s="383" t="s">
        <v>775</v>
      </c>
      <c r="E64" s="371" t="e">
        <f>INDEX('PY1 Data(H)'!$A$1:$CZ$265,MATCH('Unit Data from Audit Worksheet'!$A64,'PY1 Data(H)'!$A$1:$A$258,0),MATCH('Unit Data from Audit Worksheet'!$D$2,'PY1 Data(H)'!$A$1:$CZ$1,0))</f>
        <v>#N/A</v>
      </c>
      <c r="F64" s="793">
        <v>0</v>
      </c>
      <c r="G64" s="401"/>
      <c r="H64" s="17"/>
      <c r="I64" s="17"/>
      <c r="J64" s="72"/>
      <c r="K64"/>
      <c r="L64" s="547"/>
    </row>
    <row r="65" spans="1:123" ht="52.5" customHeight="1" x14ac:dyDescent="0.3">
      <c r="A65" s="100">
        <v>369</v>
      </c>
      <c r="B65" s="4" t="s">
        <v>55</v>
      </c>
      <c r="C65" s="4" t="s">
        <v>144</v>
      </c>
      <c r="D65" s="383" t="s">
        <v>695</v>
      </c>
      <c r="E65" s="371" t="e">
        <f>INDEX('PY1 Data(H)'!$A$1:$CZ$265,MATCH('Unit Data from Audit Worksheet'!$A65,'PY1 Data(H)'!$A$1:$A$258,0),MATCH('Unit Data from Audit Worksheet'!$D$2,'PY1 Data(H)'!$A$1:$CZ$1,0))</f>
        <v>#N/A</v>
      </c>
      <c r="F65" s="793">
        <v>0</v>
      </c>
      <c r="G65" s="401"/>
      <c r="H65" s="17"/>
      <c r="I65" s="17"/>
      <c r="J65" s="72"/>
      <c r="K65"/>
      <c r="L65" s="547"/>
    </row>
    <row r="66" spans="1:123" ht="57.75" customHeight="1" x14ac:dyDescent="0.3">
      <c r="A66" s="100">
        <v>16</v>
      </c>
      <c r="B66" s="4" t="s">
        <v>65</v>
      </c>
      <c r="C66" s="4" t="s">
        <v>144</v>
      </c>
      <c r="D66" s="99" t="s">
        <v>142</v>
      </c>
      <c r="E66" s="371" t="e">
        <f>INDEX('PY1 Data(H)'!$A$1:$CZ$265,MATCH('Unit Data from Audit Worksheet'!$A66,'PY1 Data(H)'!$A$1:$A$258,0),MATCH('Unit Data from Audit Worksheet'!$D$2,'PY1 Data(H)'!$A$1:$CZ$1,0))</f>
        <v>#N/A</v>
      </c>
      <c r="F66" s="793">
        <v>0</v>
      </c>
      <c r="G66" s="401"/>
      <c r="H66" s="17"/>
      <c r="I66" s="17"/>
      <c r="J66" s="72"/>
      <c r="K66"/>
      <c r="L66" s="547"/>
    </row>
    <row r="67" spans="1:123" ht="65.25" customHeight="1" x14ac:dyDescent="0.3">
      <c r="A67" s="100">
        <v>370</v>
      </c>
      <c r="B67" s="4" t="s">
        <v>55</v>
      </c>
      <c r="C67" s="4" t="s">
        <v>144</v>
      </c>
      <c r="D67" s="383" t="s">
        <v>696</v>
      </c>
      <c r="E67" s="371" t="e">
        <f>INDEX('PY1 Data(H)'!$A$1:$CZ$265,MATCH('Unit Data from Audit Worksheet'!$A67,'PY1 Data(H)'!$A$1:$A$258,0),MATCH('Unit Data from Audit Worksheet'!$D$2,'PY1 Data(H)'!$A$1:$CZ$1,0))</f>
        <v>#N/A</v>
      </c>
      <c r="F67" s="793">
        <v>0</v>
      </c>
      <c r="G67" s="401">
        <f>IF(F67&lt;0,"Error: Enter as positive.",)</f>
        <v>0</v>
      </c>
      <c r="H67" s="17"/>
      <c r="I67" s="17"/>
      <c r="J67" s="72"/>
      <c r="K67"/>
      <c r="L67" s="547"/>
    </row>
    <row r="68" spans="1:123" ht="69.75" customHeight="1" x14ac:dyDescent="0.3">
      <c r="A68" s="100">
        <v>532</v>
      </c>
      <c r="B68" s="948" t="s">
        <v>1892</v>
      </c>
      <c r="C68" s="4" t="s">
        <v>144</v>
      </c>
      <c r="D68" s="379" t="s">
        <v>697</v>
      </c>
      <c r="E68" s="371" t="e">
        <f>INDEX('PY1 Data(H)'!$A$1:$CZ$265,MATCH('Unit Data from Audit Worksheet'!$A68,'PY1 Data(H)'!$A$1:$A$258,0),MATCH('Unit Data from Audit Worksheet'!$D$2,'PY1 Data(H)'!$A$1:$CZ$1,0))</f>
        <v>#N/A</v>
      </c>
      <c r="F68" s="793">
        <v>0</v>
      </c>
      <c r="G68" s="401">
        <f>IF(F68&lt;0,"Error: Enter as positive.",)</f>
        <v>0</v>
      </c>
      <c r="H68" s="17"/>
      <c r="I68" s="17"/>
      <c r="J68" s="72"/>
      <c r="K68"/>
      <c r="L68" s="547"/>
    </row>
    <row r="69" spans="1:123" ht="69.75" customHeight="1" x14ac:dyDescent="0.3">
      <c r="A69" s="100">
        <v>1050</v>
      </c>
      <c r="B69" s="951" t="s">
        <v>1895</v>
      </c>
      <c r="C69" s="778" t="s">
        <v>144</v>
      </c>
      <c r="D69" s="779" t="s">
        <v>1435</v>
      </c>
      <c r="E69" s="371" t="e">
        <f>INDEX('PY1 Data(H)'!$A$1:$CZ$265,MATCH('Unit Data from Audit Worksheet'!$A69,'PY1 Data(H)'!$A$1:$A$258,0),MATCH('Unit Data from Audit Worksheet'!$D$2,'PY1 Data(H)'!$A$1:$CZ$1,0))</f>
        <v>#N/A</v>
      </c>
      <c r="F69" s="793">
        <v>0</v>
      </c>
      <c r="G69" s="401">
        <f>IF(F69&lt;0,"Error: Enter as positive.",)</f>
        <v>0</v>
      </c>
      <c r="H69" s="17"/>
      <c r="I69" s="17"/>
      <c r="J69" s="72"/>
      <c r="K69" s="180"/>
      <c r="L69" s="547"/>
      <c r="M69" s="180"/>
      <c r="Z69" s="180"/>
      <c r="AA69" s="180"/>
      <c r="AB69" s="180"/>
      <c r="AC69" s="180"/>
      <c r="AD69" s="180"/>
      <c r="AE69" s="180"/>
      <c r="AF69" s="180"/>
      <c r="AG69" s="180"/>
      <c r="AH69" s="180"/>
      <c r="AI69" s="180"/>
      <c r="AJ69" s="180"/>
      <c r="AK69" s="180"/>
      <c r="AL69" s="180"/>
      <c r="AM69" s="180"/>
      <c r="AN69" s="180"/>
      <c r="AO69" s="180"/>
      <c r="AP69" s="180"/>
      <c r="AQ69" s="180"/>
      <c r="AR69" s="180"/>
      <c r="AS69" s="180"/>
      <c r="AT69" s="180"/>
      <c r="AU69" s="180"/>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c r="CV69" s="180"/>
      <c r="CW69" s="180"/>
      <c r="CX69" s="180"/>
      <c r="CY69" s="180"/>
      <c r="CZ69" s="180"/>
      <c r="DA69" s="180"/>
      <c r="DB69" s="180"/>
      <c r="DC69" s="180"/>
      <c r="DD69" s="180"/>
      <c r="DE69" s="180"/>
      <c r="DF69" s="180"/>
      <c r="DG69" s="180"/>
      <c r="DH69" s="180"/>
      <c r="DI69" s="180"/>
      <c r="DJ69" s="180"/>
      <c r="DK69" s="180"/>
      <c r="DL69" s="180"/>
      <c r="DM69" s="180"/>
      <c r="DN69" s="180"/>
      <c r="DO69" s="180"/>
      <c r="DP69" s="180"/>
      <c r="DQ69" s="180"/>
      <c r="DR69" s="180"/>
      <c r="DS69" s="180"/>
    </row>
    <row r="70" spans="1:123" ht="58.95" customHeight="1" x14ac:dyDescent="0.3">
      <c r="A70" s="100">
        <v>17</v>
      </c>
      <c r="B70" s="4" t="s">
        <v>59</v>
      </c>
      <c r="C70" s="4" t="s">
        <v>144</v>
      </c>
      <c r="D70" s="99" t="s">
        <v>698</v>
      </c>
      <c r="E70" s="371" t="e">
        <f>INDEX('PY1 Data(H)'!$A$1:$CZ$265,MATCH('Unit Data from Audit Worksheet'!$A70,'PY1 Data(H)'!$A$1:$A$258,0),MATCH('Unit Data from Audit Worksheet'!$D$2,'PY1 Data(H)'!$A$1:$CZ$1,0))</f>
        <v>#N/A</v>
      </c>
      <c r="F70" s="793">
        <v>0</v>
      </c>
      <c r="G70" s="401"/>
      <c r="H70" s="17"/>
      <c r="I70" s="17"/>
      <c r="J70" s="72"/>
      <c r="K70"/>
      <c r="L70" s="547"/>
    </row>
    <row r="71" spans="1:123" ht="66" customHeight="1" x14ac:dyDescent="0.3">
      <c r="A71" s="100">
        <v>20</v>
      </c>
      <c r="B71" s="948" t="s">
        <v>1892</v>
      </c>
      <c r="C71" s="4" t="s">
        <v>144</v>
      </c>
      <c r="D71" s="99" t="s">
        <v>699</v>
      </c>
      <c r="E71" s="371" t="e">
        <f>INDEX('PY1 Data(H)'!$A$1:$CZ$265,MATCH('Unit Data from Audit Worksheet'!$A71,'PY1 Data(H)'!$A$1:$A$258,0),MATCH('Unit Data from Audit Worksheet'!$D$2,'PY1 Data(H)'!$A$1:$CZ$1,0))</f>
        <v>#N/A</v>
      </c>
      <c r="F71" s="793">
        <v>0</v>
      </c>
      <c r="G71" s="401">
        <f>IF(F71&lt;0,"Error: Enter as positive.",)</f>
        <v>0</v>
      </c>
      <c r="H71" s="17"/>
      <c r="I71" s="17"/>
      <c r="J71" s="72"/>
      <c r="K71"/>
      <c r="L71" s="547"/>
    </row>
    <row r="72" spans="1:123" ht="62.4" customHeight="1" x14ac:dyDescent="0.3">
      <c r="A72" s="100">
        <v>533</v>
      </c>
      <c r="B72" s="948" t="s">
        <v>1892</v>
      </c>
      <c r="C72" s="4" t="s">
        <v>144</v>
      </c>
      <c r="D72" s="379" t="s">
        <v>700</v>
      </c>
      <c r="E72" s="371" t="e">
        <f>INDEX('PY1 Data(H)'!$A$1:$CZ$265,MATCH('Unit Data from Audit Worksheet'!$A72,'PY1 Data(H)'!$A$1:$A$258,0),MATCH('Unit Data from Audit Worksheet'!$D$2,'PY1 Data(H)'!$A$1:$CZ$1,0))</f>
        <v>#N/A</v>
      </c>
      <c r="F72" s="793">
        <v>0</v>
      </c>
      <c r="G72" s="407"/>
      <c r="H72" s="17"/>
      <c r="I72" s="17"/>
      <c r="J72" s="72"/>
      <c r="K72"/>
      <c r="L72" s="547"/>
    </row>
    <row r="73" spans="1:123" s="18" customFormat="1" ht="72.599999999999994" customHeight="1" x14ac:dyDescent="0.3">
      <c r="A73" s="100">
        <v>508</v>
      </c>
      <c r="B73" s="948" t="s">
        <v>1892</v>
      </c>
      <c r="C73" s="4" t="s">
        <v>144</v>
      </c>
      <c r="D73" s="99" t="s">
        <v>290</v>
      </c>
      <c r="E73" s="371" t="e">
        <f>INDEX('PY1 Data(H)'!$A$1:$CZ$265,MATCH('Unit Data from Audit Worksheet'!$A73,'PY1 Data(H)'!$A$1:$A$258,0),MATCH('Unit Data from Audit Worksheet'!$D$2,'PY1 Data(H)'!$A$1:$CZ$1,0))</f>
        <v>#N/A</v>
      </c>
      <c r="F73" s="793">
        <v>0</v>
      </c>
      <c r="G73" s="401"/>
      <c r="H73" s="402"/>
      <c r="I73" s="402"/>
      <c r="J73" s="403"/>
      <c r="K73"/>
      <c r="L73" s="547"/>
      <c r="M73"/>
      <c r="O73" s="186"/>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row>
    <row r="74" spans="1:123" s="18" customFormat="1" ht="81.75" customHeight="1" x14ac:dyDescent="0.3">
      <c r="A74" s="100">
        <v>509</v>
      </c>
      <c r="B74" s="948" t="s">
        <v>1892</v>
      </c>
      <c r="C74" s="4" t="s">
        <v>144</v>
      </c>
      <c r="D74" s="99" t="s">
        <v>288</v>
      </c>
      <c r="E74" s="371" t="e">
        <f>INDEX('PY1 Data(H)'!$A$1:$CZ$265,MATCH('Unit Data from Audit Worksheet'!$A74,'PY1 Data(H)'!$A$1:$A$258,0),MATCH('Unit Data from Audit Worksheet'!$D$2,'PY1 Data(H)'!$A$1:$CZ$1,0))</f>
        <v>#N/A</v>
      </c>
      <c r="F74" s="793">
        <v>0</v>
      </c>
      <c r="G74" s="401">
        <f>IF(F74&lt;0,"Error: Enter as positive.",)</f>
        <v>0</v>
      </c>
      <c r="H74" s="402"/>
      <c r="I74" s="402"/>
      <c r="J74" s="403"/>
      <c r="K74"/>
      <c r="L74" s="547"/>
      <c r="M74"/>
      <c r="O74" s="186"/>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row>
    <row r="75" spans="1:123" ht="69" customHeight="1" x14ac:dyDescent="0.3">
      <c r="A75" s="100">
        <v>22</v>
      </c>
      <c r="B75" s="4" t="s">
        <v>59</v>
      </c>
      <c r="C75" s="4" t="s">
        <v>144</v>
      </c>
      <c r="D75" s="99" t="s">
        <v>289</v>
      </c>
      <c r="E75" s="371" t="e">
        <f>INDEX('PY1 Data(H)'!$A$1:$CZ$265,MATCH('Unit Data from Audit Worksheet'!$A75,'PY1 Data(H)'!$A$1:$A$258,0),MATCH('Unit Data from Audit Worksheet'!$D$2,'PY1 Data(H)'!$A$1:$CZ$1,0))</f>
        <v>#N/A</v>
      </c>
      <c r="F75" s="793">
        <v>0</v>
      </c>
      <c r="G75" s="407"/>
      <c r="H75" s="17"/>
      <c r="I75" s="17"/>
      <c r="J75" s="72"/>
      <c r="K75"/>
      <c r="L75" s="547"/>
    </row>
    <row r="76" spans="1:123" ht="138" customHeight="1" x14ac:dyDescent="0.3">
      <c r="A76" s="100">
        <v>23</v>
      </c>
      <c r="B76" s="4" t="s">
        <v>59</v>
      </c>
      <c r="C76" s="4" t="s">
        <v>144</v>
      </c>
      <c r="D76" s="383" t="s">
        <v>701</v>
      </c>
      <c r="E76" s="371" t="e">
        <f>INDEX('PY1 Data(H)'!$A$1:$CZ$265,MATCH('Unit Data from Audit Worksheet'!$A76,'PY1 Data(H)'!$A$1:$A$258,0),MATCH('Unit Data from Audit Worksheet'!$D$2,'PY1 Data(H)'!$A$1:$CZ$1,0))</f>
        <v>#N/A</v>
      </c>
      <c r="F76" s="793"/>
      <c r="G76" s="401">
        <f>IF(H76=0,,"Error: Total revenues less total expenditures do not equal total change in fund balance.  Account numbers 16-532+17-20+533+22+508-509-23=0  The amount of the formula is located in the cell to the right")</f>
        <v>0</v>
      </c>
      <c r="H76" s="404">
        <f>+F66-F68+F70-F71+F72+F75+F73-F74-F76</f>
        <v>0</v>
      </c>
      <c r="I76" s="17"/>
      <c r="J76" s="72"/>
      <c r="K76"/>
      <c r="L76" s="547"/>
    </row>
    <row r="77" spans="1:123" ht="194.25" customHeight="1" x14ac:dyDescent="0.3">
      <c r="A77" s="100">
        <v>590</v>
      </c>
      <c r="B77" s="948" t="s">
        <v>1946</v>
      </c>
      <c r="C77" s="4"/>
      <c r="D77" s="776" t="s">
        <v>1965</v>
      </c>
      <c r="E77" s="522"/>
      <c r="F77" s="794"/>
      <c r="G77" s="651"/>
      <c r="H77" s="755" t="str">
        <f>IF(F77&lt;&gt;""," ","Please do not leave cell F77 blank.")</f>
        <v>Please do not leave cell F77 blank.</v>
      </c>
      <c r="I77" s="402"/>
      <c r="J77" s="403"/>
      <c r="K77"/>
      <c r="L77" s="547"/>
    </row>
    <row r="78" spans="1:123" ht="138" customHeight="1" x14ac:dyDescent="0.3">
      <c r="A78" s="100">
        <v>507</v>
      </c>
      <c r="B78" s="373" t="s">
        <v>59</v>
      </c>
      <c r="C78" s="373" t="s">
        <v>144</v>
      </c>
      <c r="D78" s="383" t="s">
        <v>702</v>
      </c>
      <c r="E78" s="371" t="e">
        <f>INDEX('PY1 Data(H)'!$A$1:$CZ$265,MATCH('Unit Data from Audit Worksheet'!$A78,'PY1 Data(H)'!$A$1:$A$258,0),MATCH('Unit Data from Audit Worksheet'!$D$2,'PY1 Data(H)'!$A$1:$CZ$1,0))</f>
        <v>#N/A</v>
      </c>
      <c r="F78" s="793">
        <v>0</v>
      </c>
      <c r="G78" s="754" t="e">
        <f>IF(F59-F76-F78=E59,,"Error: Beginning Balance does not agree with our records.  (Acct# 9-23-507)= Prior Years Acct # 9 The amount of the formula is in the cell to the right")</f>
        <v>#N/A</v>
      </c>
      <c r="H78" s="755" t="e">
        <f>+F59-F76-F78-E59</f>
        <v>#N/A</v>
      </c>
      <c r="I78" s="775" t="e">
        <f>IF(H78=0," ","If the out of balance is because prior years data is not populated in cell E59, disregard the error message. Do not include prior year's ending balance in cell F78.")</f>
        <v>#N/A</v>
      </c>
      <c r="J78" s="763"/>
      <c r="K78"/>
      <c r="L78" s="547"/>
    </row>
    <row r="79" spans="1:123" ht="82.5" customHeight="1" x14ac:dyDescent="0.3">
      <c r="A79" s="189">
        <v>647</v>
      </c>
      <c r="B79" s="950" t="s">
        <v>1894</v>
      </c>
      <c r="C79" s="460" t="s">
        <v>360</v>
      </c>
      <c r="D79" s="188" t="s">
        <v>1529</v>
      </c>
      <c r="E79" s="371" t="e">
        <f>INDEX('PY1 Data(H)'!$A$1:$CZ$265,MATCH('Unit Data from Audit Worksheet'!$A79,'PY1 Data(H)'!$A$1:$A$258,0),MATCH('Unit Data from Audit Worksheet'!$D$2,'PY1 Data(H)'!$A$1:$CZ$1,0))</f>
        <v>#N/A</v>
      </c>
      <c r="F79" s="793">
        <v>0</v>
      </c>
      <c r="G79" s="401">
        <f>IF(F79&lt;0,"Error: Enter as positive.",)</f>
        <v>0</v>
      </c>
      <c r="H79" s="408"/>
      <c r="I79" s="17"/>
      <c r="J79" s="72"/>
      <c r="K79"/>
      <c r="L79" s="547"/>
    </row>
    <row r="80" spans="1:123" ht="25.5" customHeight="1" x14ac:dyDescent="0.3">
      <c r="A80" s="100"/>
      <c r="B80" s="489" t="s">
        <v>11</v>
      </c>
      <c r="C80" s="499"/>
      <c r="D80" s="469"/>
      <c r="E80" s="470"/>
      <c r="F80" s="470"/>
      <c r="G80" s="471"/>
      <c r="H80" s="17"/>
      <c r="I80" s="17"/>
      <c r="J80" s="72"/>
      <c r="K80"/>
      <c r="L80" s="547"/>
    </row>
    <row r="81" spans="1:12" ht="78" customHeight="1" x14ac:dyDescent="0.3">
      <c r="A81" s="100">
        <v>171</v>
      </c>
      <c r="B81" s="4" t="s">
        <v>293</v>
      </c>
      <c r="C81" s="4" t="s">
        <v>292</v>
      </c>
      <c r="D81" s="781" t="s">
        <v>703</v>
      </c>
      <c r="E81" s="371" t="e">
        <f>INDEX('PY1 Data(H)'!$A$1:$CZ$265,MATCH('Unit Data from Audit Worksheet'!$A81,'PY1 Data(H)'!$A$1:$A$258,0),MATCH('Unit Data from Audit Worksheet'!$D$2,'PY1 Data(H)'!$A$1:$CZ$1,0))</f>
        <v>#N/A</v>
      </c>
      <c r="F81" s="802">
        <v>0</v>
      </c>
      <c r="G81" s="401">
        <f>IF(F81&lt;0,"Error: Enter as positive.",)</f>
        <v>0</v>
      </c>
      <c r="H81" s="17"/>
      <c r="I81" s="17"/>
      <c r="J81" s="72"/>
      <c r="K81"/>
      <c r="L81" s="547"/>
    </row>
    <row r="82" spans="1:12" ht="18" customHeight="1" x14ac:dyDescent="0.3">
      <c r="A82" s="100"/>
      <c r="B82" s="490" t="s">
        <v>704</v>
      </c>
      <c r="C82" s="499"/>
      <c r="D82" s="467"/>
      <c r="E82" s="486"/>
      <c r="F82" s="485"/>
      <c r="G82" s="486"/>
      <c r="H82" s="17"/>
      <c r="I82" s="17"/>
      <c r="J82" s="72"/>
      <c r="K82"/>
      <c r="L82" s="547"/>
    </row>
    <row r="83" spans="1:12" ht="14.4" customHeight="1" x14ac:dyDescent="0.3">
      <c r="A83" s="100"/>
      <c r="B83" s="490" t="s">
        <v>24</v>
      </c>
      <c r="C83" s="499"/>
      <c r="D83" s="481"/>
      <c r="E83" s="488"/>
      <c r="F83" s="487"/>
      <c r="G83" s="488"/>
      <c r="H83" s="17"/>
      <c r="I83" s="17"/>
      <c r="J83" s="72"/>
      <c r="K83"/>
      <c r="L83" s="547"/>
    </row>
    <row r="84" spans="1:12" ht="14.4" customHeight="1" x14ac:dyDescent="0.3">
      <c r="A84" s="100"/>
      <c r="B84" s="490" t="s">
        <v>22</v>
      </c>
      <c r="C84" s="499"/>
      <c r="D84" s="481"/>
      <c r="E84" s="488"/>
      <c r="F84" s="487"/>
      <c r="G84" s="488"/>
      <c r="H84" s="409"/>
      <c r="I84" s="17"/>
      <c r="J84" s="72"/>
      <c r="K84"/>
      <c r="L84" s="547"/>
    </row>
    <row r="85" spans="1:12" ht="88.95" customHeight="1" x14ac:dyDescent="0.3">
      <c r="A85" s="100">
        <v>596</v>
      </c>
      <c r="B85" s="373" t="s">
        <v>56</v>
      </c>
      <c r="C85" s="277"/>
      <c r="D85" s="739" t="s">
        <v>1542</v>
      </c>
      <c r="E85" s="371" t="e">
        <f>INDEX('PY1 Data(H)'!$A$1:$CZ$265,MATCH('Unit Data from Audit Worksheet'!$A85,'PY1 Data(H)'!$A$1:$A$258,0),MATCH('Unit Data from Audit Worksheet'!$D$2,'PY1 Data(H)'!$A$1:$CZ$1,0))</f>
        <v>#N/A</v>
      </c>
      <c r="F85" s="181"/>
      <c r="G85" s="988" t="s">
        <v>1932</v>
      </c>
      <c r="H85" s="409"/>
      <c r="I85" s="17"/>
      <c r="J85" s="72"/>
      <c r="K85"/>
      <c r="L85" s="547"/>
    </row>
    <row r="86" spans="1:12" ht="85.95" customHeight="1" x14ac:dyDescent="0.3">
      <c r="A86" s="100">
        <v>80</v>
      </c>
      <c r="B86" s="948" t="s">
        <v>1897</v>
      </c>
      <c r="C86" s="4" t="s">
        <v>705</v>
      </c>
      <c r="D86" s="21" t="s">
        <v>706</v>
      </c>
      <c r="E86" s="371" t="e">
        <f>INDEX('PY1 Data(H)'!$A$1:$CZ$265,MATCH('Unit Data from Audit Worksheet'!$A86,'PY1 Data(H)'!$A$1:$A$258,0),MATCH('Unit Data from Audit Worksheet'!$D$2,'PY1 Data(H)'!$A$1:$CZ$1,0))</f>
        <v>#N/A</v>
      </c>
      <c r="F86" s="802">
        <v>0</v>
      </c>
      <c r="G86" s="780" t="e">
        <f>INDEX('PY1 Data(H)'!$A$1:$CZ$277,MATCH('PY1 Data(H)'!$A263,'PY1 Data(H)'!$A$1:$A$277,0),MATCH('Unit Data from Audit Worksheet'!$D$2,'PY1 Data(H)'!$A$1:$CZ$1,0))</f>
        <v>#N/A</v>
      </c>
      <c r="H86" s="410"/>
      <c r="I86" s="17"/>
      <c r="J86" s="72"/>
      <c r="K86"/>
      <c r="L86" s="547"/>
    </row>
    <row r="87" spans="1:12" ht="69" customHeight="1" x14ac:dyDescent="0.3">
      <c r="A87" s="100">
        <v>81</v>
      </c>
      <c r="B87" s="4" t="s">
        <v>61</v>
      </c>
      <c r="C87" s="4" t="s">
        <v>705</v>
      </c>
      <c r="D87" s="21" t="s">
        <v>707</v>
      </c>
      <c r="E87" s="371" t="e">
        <f>INDEX('PY1 Data(H)'!$A$1:$CZ$265,MATCH('Unit Data from Audit Worksheet'!$A87,'PY1 Data(H)'!$A$1:$A$258,0),MATCH('Unit Data from Audit Worksheet'!$D$2,'PY1 Data(H)'!$A$1:$CZ$1,0))</f>
        <v>#N/A</v>
      </c>
      <c r="F87" s="793">
        <v>0</v>
      </c>
      <c r="G87" s="407"/>
      <c r="H87" s="17"/>
      <c r="I87" s="17"/>
      <c r="J87" s="72"/>
      <c r="K87"/>
      <c r="L87" s="547"/>
    </row>
    <row r="88" spans="1:12" ht="84" customHeight="1" x14ac:dyDescent="0.3">
      <c r="A88" s="100">
        <v>579</v>
      </c>
      <c r="B88" s="949" t="s">
        <v>1909</v>
      </c>
      <c r="C88" s="373" t="s">
        <v>705</v>
      </c>
      <c r="D88" s="459" t="s">
        <v>708</v>
      </c>
      <c r="E88" s="371" t="e">
        <f>INDEX('PY1 Data(H)'!$A$1:$CZ$265,MATCH('Unit Data from Audit Worksheet'!$A88,'PY1 Data(H)'!$A$1:$A$258,0),MATCH('Unit Data from Audit Worksheet'!$D$2,'PY1 Data(H)'!$A$1:$CZ$1,0))</f>
        <v>#N/A</v>
      </c>
      <c r="F88" s="793">
        <v>0</v>
      </c>
      <c r="G88" s="401"/>
      <c r="H88" s="17"/>
      <c r="I88" s="402"/>
      <c r="J88" s="402"/>
      <c r="K88"/>
      <c r="L88" s="547"/>
    </row>
    <row r="89" spans="1:12" ht="78.599999999999994" customHeight="1" x14ac:dyDescent="0.3">
      <c r="A89" s="100">
        <v>510</v>
      </c>
      <c r="B89" s="948" t="s">
        <v>1897</v>
      </c>
      <c r="C89" s="4" t="s">
        <v>705</v>
      </c>
      <c r="D89" s="26" t="s">
        <v>287</v>
      </c>
      <c r="E89" s="371" t="e">
        <f>INDEX('PY1 Data(H)'!$A$1:$CZ$265,MATCH('Unit Data from Audit Worksheet'!$A89,'PY1 Data(H)'!$A$1:$A$258,0),MATCH('Unit Data from Audit Worksheet'!$D$2,'PY1 Data(H)'!$A$1:$CZ$1,0))</f>
        <v>#N/A</v>
      </c>
      <c r="F89" s="793">
        <v>0</v>
      </c>
      <c r="G89" s="407"/>
      <c r="H89" s="17"/>
      <c r="I89" s="524"/>
      <c r="J89" s="72"/>
      <c r="K89"/>
      <c r="L89" s="547"/>
    </row>
    <row r="90" spans="1:12" ht="68.25" customHeight="1" x14ac:dyDescent="0.3">
      <c r="A90" s="189">
        <v>654</v>
      </c>
      <c r="B90" s="952" t="s">
        <v>1908</v>
      </c>
      <c r="C90" s="460" t="s">
        <v>705</v>
      </c>
      <c r="D90" s="214" t="s">
        <v>709</v>
      </c>
      <c r="E90" s="371" t="e">
        <f>INDEX('PY1 Data(H)'!$A$1:$CZ$265,MATCH('Unit Data from Audit Worksheet'!$A90,'PY1 Data(H)'!$A$1:$A$258,0),MATCH('Unit Data from Audit Worksheet'!$D$2,'PY1 Data(H)'!$A$1:$CZ$1,0))</f>
        <v>#N/A</v>
      </c>
      <c r="F90" s="793">
        <v>0</v>
      </c>
      <c r="G90" s="401">
        <f>IF((F86+F87+F89)&gt;F90,"Error: Please review components of current assets above.  Account numbers (80+81+510)&gt;654",)</f>
        <v>0</v>
      </c>
      <c r="H90" s="17"/>
      <c r="I90" s="17"/>
      <c r="J90" s="72"/>
      <c r="K90"/>
      <c r="L90" s="547"/>
    </row>
    <row r="91" spans="1:12" ht="75.75" customHeight="1" x14ac:dyDescent="0.3">
      <c r="A91" s="189">
        <v>655</v>
      </c>
      <c r="B91" s="952" t="s">
        <v>1908</v>
      </c>
      <c r="C91" s="460" t="s">
        <v>705</v>
      </c>
      <c r="D91" s="191" t="s">
        <v>443</v>
      </c>
      <c r="E91" s="371" t="e">
        <f>INDEX('PY1 Data(H)'!$A$1:$CZ$265,MATCH('Unit Data from Audit Worksheet'!$A91,'PY1 Data(H)'!$A$1:$A$258,0),MATCH('Unit Data from Audit Worksheet'!$D$2,'PY1 Data(H)'!$A$1:$CZ$1,0))</f>
        <v>#N/A</v>
      </c>
      <c r="F91" s="793">
        <v>0</v>
      </c>
      <c r="G91" s="407"/>
      <c r="H91" s="17"/>
      <c r="I91" s="17"/>
      <c r="J91" s="72"/>
      <c r="K91"/>
      <c r="L91" s="547"/>
    </row>
    <row r="92" spans="1:12" ht="106.2" customHeight="1" x14ac:dyDescent="0.3">
      <c r="A92" s="100">
        <v>381</v>
      </c>
      <c r="B92" s="4" t="s">
        <v>36</v>
      </c>
      <c r="C92" s="4" t="s">
        <v>705</v>
      </c>
      <c r="D92" s="98" t="s">
        <v>122</v>
      </c>
      <c r="E92" s="371" t="e">
        <f>INDEX('PY1 Data(H)'!$A$1:$CZ$265,MATCH('Unit Data from Audit Worksheet'!$A92,'PY1 Data(H)'!$A$1:$A$258,0),MATCH('Unit Data from Audit Worksheet'!$D$2,'PY1 Data(H)'!$A$1:$CZ$1,0))</f>
        <v>#N/A</v>
      </c>
      <c r="F92" s="793">
        <v>0</v>
      </c>
      <c r="G92" s="401">
        <f>IF(F90&gt;F92,"Error: Please review components of current assets above. Account numbers 654&gt;381",)</f>
        <v>0</v>
      </c>
      <c r="H92" s="17"/>
      <c r="I92" s="17"/>
      <c r="J92" s="72"/>
      <c r="K92"/>
      <c r="L92" s="547"/>
    </row>
    <row r="93" spans="1:12" ht="63" customHeight="1" x14ac:dyDescent="0.3">
      <c r="A93" s="100">
        <v>578</v>
      </c>
      <c r="B93" s="948" t="s">
        <v>1909</v>
      </c>
      <c r="C93" s="373" t="s">
        <v>705</v>
      </c>
      <c r="D93" s="459" t="s">
        <v>710</v>
      </c>
      <c r="E93" s="371" t="e">
        <f>INDEX('PY1 Data(H)'!$A$1:$CZ$265,MATCH('Unit Data from Audit Worksheet'!$A93,'PY1 Data(H)'!$A$1:$A$258,0),MATCH('Unit Data from Audit Worksheet'!$D$2,'PY1 Data(H)'!$A$1:$CZ$1,0))</f>
        <v>#N/A</v>
      </c>
      <c r="F93" s="793">
        <v>0</v>
      </c>
      <c r="G93" s="401"/>
      <c r="H93" s="402"/>
      <c r="I93" s="402"/>
      <c r="J93" s="403"/>
      <c r="K93"/>
      <c r="L93" s="547"/>
    </row>
    <row r="94" spans="1:12" ht="113.4" customHeight="1" x14ac:dyDescent="0.3">
      <c r="A94" s="190">
        <v>633</v>
      </c>
      <c r="B94" s="952" t="s">
        <v>1900</v>
      </c>
      <c r="C94" s="460" t="s">
        <v>361</v>
      </c>
      <c r="D94" s="214" t="s">
        <v>776</v>
      </c>
      <c r="E94" s="371" t="e">
        <f>INDEX('PY1 Data(H)'!$A$1:$CZ$265,MATCH('Unit Data from Audit Worksheet'!$A94,'PY1 Data(H)'!$A$1:$A$258,0),MATCH('Unit Data from Audit Worksheet'!$D$2,'PY1 Data(H)'!$A$1:$CZ$1,0))</f>
        <v>#N/A</v>
      </c>
      <c r="F94" s="793">
        <v>0</v>
      </c>
      <c r="G94" s="725" t="str">
        <f>IF(F94&gt;=(F95+F96+F97+F98+F99+F100),"","Account 633 is less than the total sum of accounts 634 through 638 + 383")</f>
        <v/>
      </c>
      <c r="H94" s="412"/>
      <c r="I94" s="406"/>
      <c r="J94" s="761"/>
      <c r="K94"/>
      <c r="L94" s="547"/>
    </row>
    <row r="95" spans="1:12" ht="101.4" customHeight="1" x14ac:dyDescent="0.3">
      <c r="A95" s="189">
        <v>634</v>
      </c>
      <c r="B95" s="950" t="s">
        <v>1901</v>
      </c>
      <c r="C95" s="460" t="s">
        <v>361</v>
      </c>
      <c r="D95" s="214" t="s">
        <v>778</v>
      </c>
      <c r="E95" s="371" t="e">
        <f>INDEX('PY1 Data(H)'!$A$1:$CZ$265,MATCH('Unit Data from Audit Worksheet'!$A95,'PY1 Data(H)'!$A$1:$A$258,0),MATCH('Unit Data from Audit Worksheet'!$D$2,'PY1 Data(H)'!$A$1:$CZ$1,0))</f>
        <v>#N/A</v>
      </c>
      <c r="F95" s="793">
        <v>0</v>
      </c>
      <c r="G95" s="726">
        <f>IF(F95&gt;F94,"Please review account numbers 634&gt;633",)</f>
        <v>0</v>
      </c>
      <c r="H95" s="406"/>
      <c r="I95" s="406"/>
      <c r="J95" s="761"/>
      <c r="K95"/>
      <c r="L95" s="547"/>
    </row>
    <row r="96" spans="1:12" ht="107.4" customHeight="1" x14ac:dyDescent="0.3">
      <c r="A96" s="189">
        <v>635</v>
      </c>
      <c r="B96" s="950" t="s">
        <v>1901</v>
      </c>
      <c r="C96" s="460" t="s">
        <v>361</v>
      </c>
      <c r="D96" s="214" t="s">
        <v>777</v>
      </c>
      <c r="E96" s="371" t="e">
        <f>INDEX('PY1 Data(H)'!$A$1:$CZ$265,MATCH('Unit Data from Audit Worksheet'!$A96,'PY1 Data(H)'!$A$1:$A$258,0),MATCH('Unit Data from Audit Worksheet'!$D$2,'PY1 Data(H)'!$A$1:$CZ$1,0))</f>
        <v>#N/A</v>
      </c>
      <c r="F96" s="793">
        <v>0</v>
      </c>
      <c r="G96" s="726">
        <f>IF(F96&gt;F94,"Please review account numbers 635&gt;633",)</f>
        <v>0</v>
      </c>
      <c r="H96" s="406"/>
      <c r="I96" s="406"/>
      <c r="J96" s="761"/>
      <c r="K96"/>
      <c r="L96" s="547"/>
    </row>
    <row r="97" spans="1:12" ht="106.5" customHeight="1" x14ac:dyDescent="0.3">
      <c r="A97" s="189">
        <v>636</v>
      </c>
      <c r="B97" s="950" t="s">
        <v>1901</v>
      </c>
      <c r="C97" s="460" t="s">
        <v>361</v>
      </c>
      <c r="D97" s="214" t="s">
        <v>782</v>
      </c>
      <c r="E97" s="371" t="e">
        <f>INDEX('PY1 Data(H)'!$A$1:$CZ$265,MATCH('Unit Data from Audit Worksheet'!$A97,'PY1 Data(H)'!$A$1:$A$258,0),MATCH('Unit Data from Audit Worksheet'!$D$2,'PY1 Data(H)'!$A$1:$CZ$1,0))</f>
        <v>#N/A</v>
      </c>
      <c r="F97" s="793">
        <v>0</v>
      </c>
      <c r="G97" s="726">
        <f>IF(F97&gt;F94,"Please review account numbers 636&gt;633",)</f>
        <v>0</v>
      </c>
      <c r="H97" s="406"/>
      <c r="I97" s="406"/>
      <c r="J97" s="761"/>
      <c r="K97"/>
      <c r="L97" s="547"/>
    </row>
    <row r="98" spans="1:12" ht="80.25" customHeight="1" x14ac:dyDescent="0.3">
      <c r="A98" s="189">
        <v>637</v>
      </c>
      <c r="B98" s="950" t="s">
        <v>1901</v>
      </c>
      <c r="C98" s="460" t="s">
        <v>361</v>
      </c>
      <c r="D98" s="214" t="s">
        <v>781</v>
      </c>
      <c r="E98" s="371" t="e">
        <f>INDEX('PY1 Data(H)'!$A$1:$CZ$265,MATCH('Unit Data from Audit Worksheet'!$A98,'PY1 Data(H)'!$A$1:$A$258,0),MATCH('Unit Data from Audit Worksheet'!$D$2,'PY1 Data(H)'!$A$1:$CZ$1,0))</f>
        <v>#N/A</v>
      </c>
      <c r="F98" s="793">
        <v>0</v>
      </c>
      <c r="G98" s="726">
        <f>IF(F98&gt;F94,"Please review account numbers 637&gt;633",)</f>
        <v>0</v>
      </c>
      <c r="H98" s="406"/>
      <c r="I98" s="406"/>
      <c r="J98" s="761"/>
      <c r="K98"/>
      <c r="L98" s="547"/>
    </row>
    <row r="99" spans="1:12" ht="106.2" customHeight="1" x14ac:dyDescent="0.3">
      <c r="A99" s="189">
        <v>638</v>
      </c>
      <c r="B99" s="950" t="s">
        <v>1901</v>
      </c>
      <c r="C99" s="460" t="s">
        <v>361</v>
      </c>
      <c r="D99" s="214" t="s">
        <v>780</v>
      </c>
      <c r="E99" s="371" t="e">
        <f>INDEX('PY1 Data(H)'!$A$1:$CZ$265,MATCH('Unit Data from Audit Worksheet'!$A99,'PY1 Data(H)'!$A$1:$A$258,0),MATCH('Unit Data from Audit Worksheet'!$D$2,'PY1 Data(H)'!$A$1:$CZ$1,0))</f>
        <v>#N/A</v>
      </c>
      <c r="F99" s="793">
        <v>0</v>
      </c>
      <c r="G99" s="726">
        <f>IF(F99&gt;F94,"Please review account numbers 638&gt;633",)</f>
        <v>0</v>
      </c>
      <c r="H99" s="406"/>
      <c r="I99" s="406"/>
      <c r="J99" s="761"/>
      <c r="K99"/>
      <c r="L99" s="547"/>
    </row>
    <row r="100" spans="1:12" ht="93.75" customHeight="1" x14ac:dyDescent="0.3">
      <c r="A100" s="100">
        <v>383</v>
      </c>
      <c r="B100" s="4" t="s">
        <v>61</v>
      </c>
      <c r="C100" s="4" t="s">
        <v>705</v>
      </c>
      <c r="D100" s="26" t="s">
        <v>779</v>
      </c>
      <c r="E100" s="371" t="e">
        <f>INDEX('PY1 Data(H)'!$A$1:$CZ$265,MATCH('Unit Data from Audit Worksheet'!$A100,'PY1 Data(H)'!$A$1:$A$258,0),MATCH('Unit Data from Audit Worksheet'!$D$2,'PY1 Data(H)'!$A$1:$CZ$1,0))</f>
        <v>#N/A</v>
      </c>
      <c r="F100" s="793">
        <v>0</v>
      </c>
      <c r="G100" s="727">
        <f>IF(F100&gt;F94,"Error: Please review account numbers 383&gt;633",)</f>
        <v>0</v>
      </c>
      <c r="H100" s="411"/>
      <c r="I100" s="17"/>
      <c r="J100" s="72"/>
      <c r="K100"/>
      <c r="L100" s="547"/>
    </row>
    <row r="101" spans="1:12" ht="61.5" customHeight="1" x14ac:dyDescent="0.3">
      <c r="A101" s="100">
        <v>349</v>
      </c>
      <c r="B101" s="4" t="s">
        <v>61</v>
      </c>
      <c r="C101" s="4" t="s">
        <v>705</v>
      </c>
      <c r="D101" s="99" t="s">
        <v>145</v>
      </c>
      <c r="E101" s="371" t="e">
        <f>INDEX('PY1 Data(H)'!$A$1:$CZ$265,MATCH('Unit Data from Audit Worksheet'!$A101,'PY1 Data(H)'!$A$1:$A$258,0),MATCH('Unit Data from Audit Worksheet'!$D$2,'PY1 Data(H)'!$A$1:$CZ$1,0))</f>
        <v>#N/A</v>
      </c>
      <c r="F101" s="793">
        <v>0</v>
      </c>
      <c r="G101" s="401" t="str">
        <f>IF(F94&gt;F101,"Error: Please review accts 633&gt;349","")</f>
        <v/>
      </c>
      <c r="H101" s="17"/>
      <c r="I101" s="17"/>
      <c r="J101" s="72"/>
      <c r="K101"/>
      <c r="L101" s="547"/>
    </row>
    <row r="102" spans="1:12" ht="72" customHeight="1" x14ac:dyDescent="0.3">
      <c r="A102" s="100">
        <v>375</v>
      </c>
      <c r="B102" s="4" t="s">
        <v>61</v>
      </c>
      <c r="C102" s="4" t="s">
        <v>705</v>
      </c>
      <c r="D102" s="383" t="s">
        <v>711</v>
      </c>
      <c r="E102" s="371" t="e">
        <f>INDEX('PY1 Data(H)'!$A$1:$CZ$265,MATCH('Unit Data from Audit Worksheet'!$A102,'PY1 Data(H)'!$A$1:$A$258,0),MATCH('Unit Data from Audit Worksheet'!$D$2,'PY1 Data(H)'!$A$1:$CZ$1,0))</f>
        <v>#N/A</v>
      </c>
      <c r="F102" s="793">
        <v>0</v>
      </c>
      <c r="G102" s="407"/>
      <c r="H102" s="17"/>
      <c r="I102" s="17"/>
      <c r="J102" s="72"/>
      <c r="K102"/>
      <c r="L102" s="547"/>
    </row>
    <row r="103" spans="1:12" ht="138" customHeight="1" x14ac:dyDescent="0.3">
      <c r="A103" s="100">
        <v>83</v>
      </c>
      <c r="B103" s="4" t="s">
        <v>60</v>
      </c>
      <c r="C103" s="4" t="s">
        <v>705</v>
      </c>
      <c r="D103" s="99" t="s">
        <v>146</v>
      </c>
      <c r="E103" s="371" t="e">
        <f>INDEX('PY1 Data(H)'!$A$1:$CZ$265,MATCH('Unit Data from Audit Worksheet'!$A103,'PY1 Data(H)'!$A$1:$A$258,0),MATCH('Unit Data from Audit Worksheet'!$D$2,'PY1 Data(H)'!$A$1:$CZ$1,0))</f>
        <v>#N/A</v>
      </c>
      <c r="F103" s="793">
        <v>0</v>
      </c>
      <c r="G103" s="401">
        <f>IF(F92-F101-F103=0,,"Error: Total assets less total liabilities do not equal total net assets.  Account numbers 381-349-83=0  The amount of the formula is in the cell to the right")</f>
        <v>0</v>
      </c>
      <c r="H103" s="404">
        <f>F92-F101-F103</f>
        <v>0</v>
      </c>
      <c r="I103" s="17"/>
      <c r="J103" s="72"/>
      <c r="K103"/>
      <c r="L103" s="547"/>
    </row>
    <row r="104" spans="1:12" ht="40.5" customHeight="1" x14ac:dyDescent="0.3">
      <c r="A104" s="100"/>
      <c r="B104" s="489" t="s">
        <v>147</v>
      </c>
      <c r="C104" s="499"/>
      <c r="D104" s="467"/>
      <c r="E104" s="485"/>
      <c r="F104" s="485"/>
      <c r="G104" s="486"/>
      <c r="H104" s="409"/>
      <c r="I104" s="17"/>
      <c r="J104" s="72"/>
      <c r="K104"/>
      <c r="L104" s="547"/>
    </row>
    <row r="105" spans="1:12" ht="59.25" customHeight="1" x14ac:dyDescent="0.3">
      <c r="A105" s="100">
        <v>90</v>
      </c>
      <c r="B105" s="948" t="s">
        <v>1904</v>
      </c>
      <c r="C105" s="4" t="s">
        <v>712</v>
      </c>
      <c r="D105" s="21" t="s">
        <v>713</v>
      </c>
      <c r="E105" s="371" t="e">
        <f>INDEX('PY1 Data(H)'!$A$1:$CZ$265,MATCH('Unit Data from Audit Worksheet'!$A105,'PY1 Data(H)'!$A$1:$A$258,0),MATCH('Unit Data from Audit Worksheet'!$D$2,'PY1 Data(H)'!$A$1:$CZ$1,0))</f>
        <v>#N/A</v>
      </c>
      <c r="F105" s="793">
        <v>0</v>
      </c>
      <c r="G105" s="401">
        <f>IF(F105&lt;0,"Note: Number is normally positive.",)</f>
        <v>0</v>
      </c>
      <c r="H105" s="404"/>
      <c r="I105" s="17"/>
      <c r="J105" s="72"/>
      <c r="K105"/>
      <c r="L105" s="547"/>
    </row>
    <row r="106" spans="1:12" ht="75" customHeight="1" x14ac:dyDescent="0.3">
      <c r="A106" s="100">
        <v>91</v>
      </c>
      <c r="B106" s="4" t="s">
        <v>57</v>
      </c>
      <c r="C106" s="4" t="s">
        <v>712</v>
      </c>
      <c r="D106" s="21" t="s">
        <v>714</v>
      </c>
      <c r="E106" s="371" t="e">
        <f>INDEX('PY1 Data(H)'!$A$1:$CZ$265,MATCH('Unit Data from Audit Worksheet'!$A106,'PY1 Data(H)'!$A$1:$A$258,0),MATCH('Unit Data from Audit Worksheet'!$D$2,'PY1 Data(H)'!$A$1:$CZ$1,0))</f>
        <v>#N/A</v>
      </c>
      <c r="F106" s="793">
        <v>0</v>
      </c>
      <c r="G106" s="401">
        <f>IF(F106&lt;0,"Note: Number is normally positive.",)</f>
        <v>0</v>
      </c>
      <c r="H106" s="402"/>
      <c r="I106" s="17"/>
      <c r="J106" s="72"/>
      <c r="K106"/>
      <c r="L106" s="547"/>
    </row>
    <row r="107" spans="1:12" ht="66.75" customHeight="1" x14ac:dyDescent="0.3">
      <c r="A107" s="100">
        <v>581</v>
      </c>
      <c r="B107" s="948" t="s">
        <v>1899</v>
      </c>
      <c r="C107" s="373" t="s">
        <v>712</v>
      </c>
      <c r="D107" s="459" t="s">
        <v>715</v>
      </c>
      <c r="E107" s="371" t="e">
        <f>INDEX('PY1 Data(H)'!$A$1:$CZ$265,MATCH('Unit Data from Audit Worksheet'!$A107,'PY1 Data(H)'!$A$1:$A$258,0),MATCH('Unit Data from Audit Worksheet'!$D$2,'PY1 Data(H)'!$A$1:$CZ$1,0))</f>
        <v>#N/A</v>
      </c>
      <c r="F107" s="793">
        <v>0</v>
      </c>
      <c r="G107" s="401"/>
      <c r="H107" s="402"/>
      <c r="I107" s="17"/>
      <c r="J107" s="72"/>
      <c r="K107"/>
      <c r="L107" s="547"/>
    </row>
    <row r="108" spans="1:12" ht="67.5" customHeight="1" x14ac:dyDescent="0.3">
      <c r="A108" s="100">
        <v>511</v>
      </c>
      <c r="B108" s="948" t="s">
        <v>1899</v>
      </c>
      <c r="C108" s="4" t="s">
        <v>712</v>
      </c>
      <c r="D108" s="22" t="s">
        <v>148</v>
      </c>
      <c r="E108" s="371" t="e">
        <f>INDEX('PY1 Data(H)'!$A$1:$CZ$265,MATCH('Unit Data from Audit Worksheet'!$A108,'PY1 Data(H)'!$A$1:$A$258,0),MATCH('Unit Data from Audit Worksheet'!$D$2,'PY1 Data(H)'!$A$1:$CZ$1,0))</f>
        <v>#N/A</v>
      </c>
      <c r="F108" s="793">
        <v>0</v>
      </c>
      <c r="G108" s="401">
        <f>IF(F108&lt;0,"Note: Number is normally positive.",)</f>
        <v>0</v>
      </c>
      <c r="H108" s="402"/>
      <c r="I108" s="17"/>
      <c r="J108" s="72"/>
      <c r="K108"/>
      <c r="L108" s="547"/>
    </row>
    <row r="109" spans="1:12" ht="72" customHeight="1" x14ac:dyDescent="0.3">
      <c r="A109" s="189">
        <v>657</v>
      </c>
      <c r="B109" s="948" t="s">
        <v>1899</v>
      </c>
      <c r="C109" s="460" t="s">
        <v>712</v>
      </c>
      <c r="D109" s="214" t="s">
        <v>716</v>
      </c>
      <c r="E109" s="371" t="e">
        <f>INDEX('PY1 Data(H)'!$A$1:$CZ$265,MATCH('Unit Data from Audit Worksheet'!$A109,'PY1 Data(H)'!$A$1:$A$258,0),MATCH('Unit Data from Audit Worksheet'!$D$2,'PY1 Data(H)'!$A$1:$CZ$1,0))</f>
        <v>#N/A</v>
      </c>
      <c r="F109" s="793">
        <v>0</v>
      </c>
      <c r="G109" s="727">
        <f>IF((F105+F106+F108)&gt;F109,"Error: Please review components of current assets above.  Account numbers (90+91+511)&gt;657",)</f>
        <v>0</v>
      </c>
      <c r="H109" s="402"/>
      <c r="I109" s="17"/>
      <c r="J109" s="72"/>
      <c r="K109"/>
      <c r="L109" s="547"/>
    </row>
    <row r="110" spans="1:12" ht="70.5" customHeight="1" x14ac:dyDescent="0.3">
      <c r="A110" s="189">
        <v>658</v>
      </c>
      <c r="B110" s="948" t="s">
        <v>1899</v>
      </c>
      <c r="C110" s="460" t="s">
        <v>712</v>
      </c>
      <c r="D110" s="191" t="s">
        <v>444</v>
      </c>
      <c r="E110" s="371" t="e">
        <f>INDEX('PY1 Data(H)'!$A$1:$CZ$265,MATCH('Unit Data from Audit Worksheet'!$A110,'PY1 Data(H)'!$A$1:$A$258,0),MATCH('Unit Data from Audit Worksheet'!$D$2,'PY1 Data(H)'!$A$1:$CZ$1,0))</f>
        <v>#N/A</v>
      </c>
      <c r="F110" s="793">
        <v>0</v>
      </c>
      <c r="G110" s="401"/>
      <c r="H110" s="402"/>
      <c r="I110" s="17"/>
      <c r="J110" s="72"/>
      <c r="K110"/>
      <c r="L110" s="547"/>
    </row>
    <row r="111" spans="1:12" ht="73.8" customHeight="1" x14ac:dyDescent="0.3">
      <c r="A111" s="100">
        <v>382</v>
      </c>
      <c r="B111" s="4" t="s">
        <v>59</v>
      </c>
      <c r="C111" s="4" t="s">
        <v>712</v>
      </c>
      <c r="D111" s="98" t="s">
        <v>122</v>
      </c>
      <c r="E111" s="371" t="e">
        <f>INDEX('PY1 Data(H)'!$A$1:$CZ$265,MATCH('Unit Data from Audit Worksheet'!$A111,'PY1 Data(H)'!$A$1:$A$258,0),MATCH('Unit Data from Audit Worksheet'!$D$2,'PY1 Data(H)'!$A$1:$CZ$1,0))</f>
        <v>#N/A</v>
      </c>
      <c r="F111" s="793">
        <v>0</v>
      </c>
      <c r="G111" s="727">
        <f>IF(F109&gt;F111,"Error: Please review components of current assets above. Account numbers 657&gt;382",)</f>
        <v>0</v>
      </c>
      <c r="H111" s="402"/>
      <c r="I111" s="17"/>
      <c r="J111" s="72"/>
      <c r="K111"/>
      <c r="L111" s="547"/>
    </row>
    <row r="112" spans="1:12" ht="57.75" customHeight="1" x14ac:dyDescent="0.3">
      <c r="A112" s="100">
        <v>360</v>
      </c>
      <c r="B112" s="4" t="s">
        <v>55</v>
      </c>
      <c r="C112" s="4" t="s">
        <v>712</v>
      </c>
      <c r="D112" s="99" t="s">
        <v>149</v>
      </c>
      <c r="E112" s="371" t="e">
        <f>INDEX('PY1 Data(H)'!$A$1:$CZ$265,MATCH('Unit Data from Audit Worksheet'!$A112,'PY1 Data(H)'!$A$1:$A$258,0),MATCH('Unit Data from Audit Worksheet'!$D$2,'PY1 Data(H)'!$A$1:$CZ$1,0))</f>
        <v>#N/A</v>
      </c>
      <c r="F112" s="793">
        <v>0</v>
      </c>
      <c r="G112" s="725"/>
      <c r="H112" s="402"/>
      <c r="I112" s="17"/>
      <c r="J112" s="72"/>
      <c r="K112"/>
      <c r="L112" s="547"/>
    </row>
    <row r="113" spans="1:123" ht="62.25" customHeight="1" x14ac:dyDescent="0.3">
      <c r="A113" s="100">
        <v>580</v>
      </c>
      <c r="B113" s="948" t="s">
        <v>1899</v>
      </c>
      <c r="C113" s="373" t="s">
        <v>712</v>
      </c>
      <c r="D113" s="459" t="s">
        <v>717</v>
      </c>
      <c r="E113" s="371" t="e">
        <f>INDEX('PY1 Data(H)'!$A$1:$CZ$265,MATCH('Unit Data from Audit Worksheet'!$A113,'PY1 Data(H)'!$A$1:$A$258,0),MATCH('Unit Data from Audit Worksheet'!$D$2,'PY1 Data(H)'!$A$1:$CZ$1,0))</f>
        <v>#N/A</v>
      </c>
      <c r="F113" s="793">
        <v>0</v>
      </c>
      <c r="G113" s="725"/>
      <c r="H113" s="402"/>
      <c r="I113" s="17"/>
      <c r="J113" s="72"/>
      <c r="K113"/>
      <c r="L113" s="547"/>
    </row>
    <row r="114" spans="1:123" ht="114" customHeight="1" x14ac:dyDescent="0.3">
      <c r="A114" s="190">
        <v>639</v>
      </c>
      <c r="B114" s="952" t="s">
        <v>1900</v>
      </c>
      <c r="C114" s="460" t="s">
        <v>712</v>
      </c>
      <c r="D114" s="214" t="s">
        <v>783</v>
      </c>
      <c r="E114" s="371" t="e">
        <f>INDEX('PY1 Data(H)'!$A$1:$CZ$265,MATCH('Unit Data from Audit Worksheet'!$A114,'PY1 Data(H)'!$A$1:$A$258,0),MATCH('Unit Data from Audit Worksheet'!$D$2,'PY1 Data(H)'!$A$1:$CZ$1,0))</f>
        <v>#N/A</v>
      </c>
      <c r="F114" s="793">
        <v>0</v>
      </c>
      <c r="G114" s="725" t="str">
        <f>IF(F114&gt;=(F115+F116+F117+F118+F119+F120),"","Account 639 is less than the total sum of accounts 640 through 644 + 384")</f>
        <v/>
      </c>
      <c r="H114" s="412"/>
      <c r="I114" s="406"/>
      <c r="J114" s="761"/>
      <c r="K114"/>
      <c r="L114" s="547"/>
    </row>
    <row r="115" spans="1:123" ht="111.6" customHeight="1" x14ac:dyDescent="0.3">
      <c r="A115" s="189">
        <v>640</v>
      </c>
      <c r="B115" s="950" t="s">
        <v>1901</v>
      </c>
      <c r="C115" s="460" t="s">
        <v>712</v>
      </c>
      <c r="D115" s="214" t="s">
        <v>784</v>
      </c>
      <c r="E115" s="371" t="e">
        <f>INDEX('PY1 Data(H)'!$A$1:$CZ$265,MATCH('Unit Data from Audit Worksheet'!$A115,'PY1 Data(H)'!$A$1:$A$258,0),MATCH('Unit Data from Audit Worksheet'!$D$2,'PY1 Data(H)'!$A$1:$CZ$1,0))</f>
        <v>#N/A</v>
      </c>
      <c r="F115" s="793">
        <v>0</v>
      </c>
      <c r="G115" s="727">
        <f>IF(F115&gt;F114,"Error: Please review components of current liabilities above. Account numbers 640&gt;639",)</f>
        <v>0</v>
      </c>
      <c r="H115" s="406"/>
      <c r="I115" s="412"/>
      <c r="J115" s="762"/>
      <c r="K115"/>
      <c r="L115" s="547"/>
    </row>
    <row r="116" spans="1:123" ht="121.2" customHeight="1" x14ac:dyDescent="0.3">
      <c r="A116" s="189">
        <v>641</v>
      </c>
      <c r="B116" s="950" t="s">
        <v>1901</v>
      </c>
      <c r="C116" s="460" t="s">
        <v>712</v>
      </c>
      <c r="D116" s="214" t="s">
        <v>785</v>
      </c>
      <c r="E116" s="371" t="e">
        <f>INDEX('PY1 Data(H)'!$A$1:$CZ$265,MATCH('Unit Data from Audit Worksheet'!$A116,'PY1 Data(H)'!$A$1:$A$258,0),MATCH('Unit Data from Audit Worksheet'!$D$2,'PY1 Data(H)'!$A$1:$CZ$1,0))</f>
        <v>#N/A</v>
      </c>
      <c r="F116" s="793">
        <v>0</v>
      </c>
      <c r="G116" s="727">
        <f>IF(F116&gt;F114,"Error: Please review components of current liabilities above. Account numbers 641&gt;639",)</f>
        <v>0</v>
      </c>
      <c r="H116" s="406"/>
      <c r="I116" s="406"/>
      <c r="J116" s="761"/>
      <c r="K116"/>
      <c r="L116" s="547"/>
    </row>
    <row r="117" spans="1:123" ht="110.4" customHeight="1" x14ac:dyDescent="0.3">
      <c r="A117" s="189">
        <v>642</v>
      </c>
      <c r="B117" s="950" t="s">
        <v>1901</v>
      </c>
      <c r="C117" s="460" t="s">
        <v>712</v>
      </c>
      <c r="D117" s="214" t="s">
        <v>786</v>
      </c>
      <c r="E117" s="371" t="e">
        <f>INDEX('PY1 Data(H)'!$A$1:$CZ$265,MATCH('Unit Data from Audit Worksheet'!$A117,'PY1 Data(H)'!$A$1:$A$258,0),MATCH('Unit Data from Audit Worksheet'!$D$2,'PY1 Data(H)'!$A$1:$CZ$1,0))</f>
        <v>#N/A</v>
      </c>
      <c r="F117" s="793">
        <v>0</v>
      </c>
      <c r="G117" s="727">
        <f>IF(F117&gt;F114,"Error: Please review components of current liabilities above. Account numbers  642&gt;639",)</f>
        <v>0</v>
      </c>
      <c r="H117" s="406"/>
      <c r="I117" s="406"/>
      <c r="J117" s="761"/>
      <c r="K117"/>
      <c r="L117" s="547"/>
    </row>
    <row r="118" spans="1:123" ht="79.95" customHeight="1" x14ac:dyDescent="0.3">
      <c r="A118" s="189">
        <v>643</v>
      </c>
      <c r="B118" s="950" t="s">
        <v>1901</v>
      </c>
      <c r="C118" s="460" t="s">
        <v>712</v>
      </c>
      <c r="D118" s="214" t="s">
        <v>787</v>
      </c>
      <c r="E118" s="371" t="e">
        <f>INDEX('PY1 Data(H)'!$A$1:$CZ$265,MATCH('Unit Data from Audit Worksheet'!$A118,'PY1 Data(H)'!$A$1:$A$258,0),MATCH('Unit Data from Audit Worksheet'!$D$2,'PY1 Data(H)'!$A$1:$CZ$1,0))</f>
        <v>#N/A</v>
      </c>
      <c r="F118" s="793">
        <v>0</v>
      </c>
      <c r="G118" s="727">
        <f>IF(F118&gt;F114,"Error: Please review components of current liabilities above. Account numbers 643&gt;639",)</f>
        <v>0</v>
      </c>
      <c r="H118" s="406"/>
      <c r="I118" s="406"/>
      <c r="J118" s="761"/>
      <c r="K118"/>
      <c r="L118" s="547"/>
    </row>
    <row r="119" spans="1:123" ht="105" customHeight="1" x14ac:dyDescent="0.3">
      <c r="A119" s="189">
        <v>644</v>
      </c>
      <c r="B119" s="950" t="s">
        <v>1901</v>
      </c>
      <c r="C119" s="460" t="s">
        <v>712</v>
      </c>
      <c r="D119" s="214" t="s">
        <v>788</v>
      </c>
      <c r="E119" s="371" t="e">
        <f>INDEX('PY1 Data(H)'!$A$1:$CZ$265,MATCH('Unit Data from Audit Worksheet'!$A119,'PY1 Data(H)'!$A$1:$A$258,0),MATCH('Unit Data from Audit Worksheet'!$D$2,'PY1 Data(H)'!$A$1:$CZ$1,0))</f>
        <v>#N/A</v>
      </c>
      <c r="F119" s="793">
        <v>0</v>
      </c>
      <c r="G119" s="727">
        <f>IF(F119&gt;F114,"Error: Please review components of current liabilities above. Account number 644&gt;639",)</f>
        <v>0</v>
      </c>
      <c r="H119" s="406"/>
      <c r="I119" s="406"/>
      <c r="J119" s="761"/>
      <c r="K119"/>
      <c r="L119" s="547"/>
    </row>
    <row r="120" spans="1:123" ht="88.95" customHeight="1" x14ac:dyDescent="0.3">
      <c r="A120" s="100">
        <v>384</v>
      </c>
      <c r="B120" s="4" t="s">
        <v>62</v>
      </c>
      <c r="C120" s="4" t="s">
        <v>712</v>
      </c>
      <c r="D120" s="26" t="s">
        <v>789</v>
      </c>
      <c r="E120" s="371" t="e">
        <f>INDEX('PY1 Data(H)'!$A$1:$CZ$265,MATCH('Unit Data from Audit Worksheet'!$A120,'PY1 Data(H)'!$A$1:$A$258,0),MATCH('Unit Data from Audit Worksheet'!$D$2,'PY1 Data(H)'!$A$1:$CZ$1,0))</f>
        <v>#N/A</v>
      </c>
      <c r="F120" s="793">
        <v>0</v>
      </c>
      <c r="G120" s="727">
        <f>IF(F120&gt;F114,"Error: Please review components of current liabilities above. Account number 384&gt;639",)</f>
        <v>0</v>
      </c>
      <c r="H120" s="342"/>
      <c r="I120" s="17"/>
      <c r="J120" s="72"/>
      <c r="K120"/>
      <c r="L120" s="547"/>
    </row>
    <row r="121" spans="1:123" ht="92.4" customHeight="1" x14ac:dyDescent="0.3">
      <c r="A121" s="100">
        <v>361</v>
      </c>
      <c r="B121" s="4" t="s">
        <v>55</v>
      </c>
      <c r="C121" s="4" t="s">
        <v>712</v>
      </c>
      <c r="D121" s="383" t="s">
        <v>718</v>
      </c>
      <c r="E121" s="371" t="e">
        <f>INDEX('PY1 Data(H)'!$A$1:$CZ$265,MATCH('Unit Data from Audit Worksheet'!$A121,'PY1 Data(H)'!$A$1:$A$258,0),MATCH('Unit Data from Audit Worksheet'!$D$2,'PY1 Data(H)'!$A$1:$CZ$1,0))</f>
        <v>#N/A</v>
      </c>
      <c r="F121" s="793">
        <v>0</v>
      </c>
      <c r="G121" s="407"/>
      <c r="H121" s="402"/>
      <c r="I121" s="17"/>
      <c r="J121" s="72"/>
      <c r="K121"/>
      <c r="L121" s="547"/>
    </row>
    <row r="122" spans="1:123" ht="54" customHeight="1" x14ac:dyDescent="0.3">
      <c r="A122" s="100">
        <v>362</v>
      </c>
      <c r="B122" s="4" t="s">
        <v>55</v>
      </c>
      <c r="C122" s="4" t="s">
        <v>712</v>
      </c>
      <c r="D122" s="99" t="s">
        <v>150</v>
      </c>
      <c r="E122" s="371" t="e">
        <f>INDEX('PY1 Data(H)'!$A$1:$CZ$265,MATCH('Unit Data from Audit Worksheet'!$A122,'PY1 Data(H)'!$A$1:$A$258,0),MATCH('Unit Data from Audit Worksheet'!$D$2,'PY1 Data(H)'!$A$1:$CZ$1,0))</f>
        <v>#N/A</v>
      </c>
      <c r="F122" s="793">
        <v>0</v>
      </c>
      <c r="G122" s="401">
        <f>IF(H122=0,,"Error: Total assets less total liabilities do not equal total net position. Account numbers 382-360-362=0  The amount of the formula is in the cell to the right")</f>
        <v>0</v>
      </c>
      <c r="H122" s="404">
        <f>F111-F112-F122</f>
        <v>0</v>
      </c>
      <c r="I122" s="17"/>
      <c r="J122" s="72"/>
      <c r="K122"/>
      <c r="L122" s="547"/>
    </row>
    <row r="123" spans="1:123" ht="26.25" customHeight="1" x14ac:dyDescent="0.3">
      <c r="A123" s="100"/>
      <c r="B123" s="478" t="s">
        <v>174</v>
      </c>
      <c r="C123" s="479"/>
      <c r="D123" s="491"/>
      <c r="E123" s="477"/>
      <c r="F123" s="477"/>
      <c r="G123" s="477"/>
      <c r="H123" s="17"/>
      <c r="I123" s="17"/>
      <c r="J123" s="72"/>
      <c r="K123"/>
      <c r="L123" s="547"/>
    </row>
    <row r="124" spans="1:123" s="18" customFormat="1" ht="84.6" customHeight="1" x14ac:dyDescent="0.3">
      <c r="A124" s="100"/>
      <c r="B124" s="1066" t="s">
        <v>797</v>
      </c>
      <c r="C124" s="1066"/>
      <c r="D124" s="1066"/>
      <c r="E124" s="486"/>
      <c r="F124" s="486"/>
      <c r="G124" s="486"/>
      <c r="H124" s="17"/>
      <c r="I124" s="17"/>
      <c r="J124" s="72"/>
      <c r="K124"/>
      <c r="L124" s="547"/>
      <c r="M124"/>
      <c r="O124" s="186"/>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row>
    <row r="125" spans="1:123" ht="87" customHeight="1" x14ac:dyDescent="0.3">
      <c r="A125" s="100">
        <v>88</v>
      </c>
      <c r="B125" s="4" t="s">
        <v>60</v>
      </c>
      <c r="C125" s="4" t="s">
        <v>719</v>
      </c>
      <c r="D125" s="21" t="s">
        <v>720</v>
      </c>
      <c r="E125" s="371" t="e">
        <f>INDEX('PY1 Data(H)'!$A$1:$CZ$265,MATCH('Unit Data from Audit Worksheet'!$A125,'PY1 Data(H)'!$A$1:$A$258,0),MATCH('Unit Data from Audit Worksheet'!$D$2,'PY1 Data(H)'!$A$1:$CZ$1,0))</f>
        <v>#N/A</v>
      </c>
      <c r="F125" s="793">
        <v>0</v>
      </c>
      <c r="G125" s="407"/>
      <c r="H125" s="17"/>
      <c r="I125" s="17"/>
      <c r="J125" s="72"/>
      <c r="K125"/>
      <c r="L125" s="547"/>
    </row>
    <row r="126" spans="1:123" ht="81" customHeight="1" x14ac:dyDescent="0.3">
      <c r="A126" s="100">
        <v>84</v>
      </c>
      <c r="B126" s="948" t="s">
        <v>1897</v>
      </c>
      <c r="C126" s="4" t="s">
        <v>719</v>
      </c>
      <c r="D126" s="26" t="s">
        <v>151</v>
      </c>
      <c r="E126" s="371" t="e">
        <f>INDEX('PY1 Data(H)'!$A$1:$CZ$265,MATCH('Unit Data from Audit Worksheet'!$A126,'PY1 Data(H)'!$A$1:$A$258,0),MATCH('Unit Data from Audit Worksheet'!$D$2,'PY1 Data(H)'!$A$1:$CZ$1,0))</f>
        <v>#N/A</v>
      </c>
      <c r="F126" s="793">
        <v>0</v>
      </c>
      <c r="G126" s="401">
        <f>IF(F126&gt;=F125,,"Error: Charges for services exceed total operating revenues. Account numbers 88&gt;84")</f>
        <v>0</v>
      </c>
      <c r="H126" s="17"/>
      <c r="I126" s="17"/>
      <c r="J126" s="72"/>
      <c r="K126"/>
      <c r="L126" s="547"/>
    </row>
    <row r="127" spans="1:123" ht="78" customHeight="1" x14ac:dyDescent="0.3">
      <c r="A127" s="100">
        <v>49</v>
      </c>
      <c r="B127" s="948" t="s">
        <v>1897</v>
      </c>
      <c r="C127" s="4" t="s">
        <v>719</v>
      </c>
      <c r="D127" s="26" t="s">
        <v>152</v>
      </c>
      <c r="E127" s="371" t="e">
        <f>INDEX('PY1 Data(H)'!$A$1:$CZ$265,MATCH('Unit Data from Audit Worksheet'!$A127,'PY1 Data(H)'!$A$1:$A$258,0),MATCH('Unit Data from Audit Worksheet'!$D$2,'PY1 Data(H)'!$A$1:$CZ$1,0))</f>
        <v>#N/A</v>
      </c>
      <c r="F127" s="793">
        <v>0</v>
      </c>
      <c r="G127" s="401">
        <f>IF(F127&lt;0,"Error: Enter as positive.",)</f>
        <v>0</v>
      </c>
      <c r="H127" s="17"/>
      <c r="I127" s="17"/>
      <c r="J127" s="72"/>
      <c r="K127"/>
      <c r="L127" s="547"/>
    </row>
    <row r="128" spans="1:123" ht="87.6" customHeight="1" x14ac:dyDescent="0.3">
      <c r="A128" s="100">
        <v>85</v>
      </c>
      <c r="B128" s="948" t="s">
        <v>1897</v>
      </c>
      <c r="C128" s="4" t="s">
        <v>719</v>
      </c>
      <c r="D128" s="26" t="s">
        <v>153</v>
      </c>
      <c r="E128" s="371" t="e">
        <f>INDEX('PY1 Data(H)'!$A$1:$CZ$265,MATCH('Unit Data from Audit Worksheet'!$A128,'PY1 Data(H)'!$A$1:$A$258,0),MATCH('Unit Data from Audit Worksheet'!$D$2,'PY1 Data(H)'!$A$1:$CZ$1,0))</f>
        <v>#N/A</v>
      </c>
      <c r="F128" s="793">
        <v>0</v>
      </c>
      <c r="G128" s="401">
        <f>IF(F128&lt;0,"Error: Enter as positive.",)</f>
        <v>0</v>
      </c>
      <c r="H128" s="17"/>
      <c r="I128" s="17"/>
      <c r="J128" s="72"/>
      <c r="K128"/>
      <c r="L128" s="547"/>
    </row>
    <row r="129" spans="1:123" ht="75.599999999999994" customHeight="1" x14ac:dyDescent="0.3">
      <c r="A129" s="100">
        <v>89</v>
      </c>
      <c r="B129" s="948" t="s">
        <v>1897</v>
      </c>
      <c r="C129" s="4" t="s">
        <v>719</v>
      </c>
      <c r="D129" s="26" t="s">
        <v>154</v>
      </c>
      <c r="E129" s="371" t="e">
        <f>INDEX('PY1 Data(H)'!$A$1:$CZ$265,MATCH('Unit Data from Audit Worksheet'!$A129,'PY1 Data(H)'!$A$1:$A$258,0),MATCH('Unit Data from Audit Worksheet'!$D$2,'PY1 Data(H)'!$A$1:$CZ$1,0))</f>
        <v>#N/A</v>
      </c>
      <c r="F129" s="793">
        <v>0</v>
      </c>
      <c r="G129" s="401">
        <f>IF(F129&lt;0,"Error: Enter as positive.",)</f>
        <v>0</v>
      </c>
      <c r="H129" s="402"/>
      <c r="I129" s="17"/>
      <c r="J129" s="72"/>
      <c r="K129"/>
      <c r="L129" s="547"/>
    </row>
    <row r="130" spans="1:123" ht="79.2" customHeight="1" x14ac:dyDescent="0.3">
      <c r="A130" s="100">
        <v>350</v>
      </c>
      <c r="B130" s="4" t="s">
        <v>55</v>
      </c>
      <c r="C130" s="4" t="s">
        <v>719</v>
      </c>
      <c r="D130" s="21" t="s">
        <v>721</v>
      </c>
      <c r="E130" s="371" t="e">
        <f>INDEX('PY1 Data(H)'!$A$1:$CZ$265,MATCH('Unit Data from Audit Worksheet'!$A130,'PY1 Data(H)'!$A$1:$A$258,0),MATCH('Unit Data from Audit Worksheet'!$D$2,'PY1 Data(H)'!$A$1:$CZ$1,0))</f>
        <v>#N/A</v>
      </c>
      <c r="F130" s="793">
        <v>0</v>
      </c>
      <c r="G130" s="407"/>
      <c r="H130" s="402"/>
      <c r="I130" s="17"/>
      <c r="J130" s="72"/>
      <c r="K130"/>
      <c r="L130" s="547"/>
    </row>
    <row r="131" spans="1:123" ht="66" customHeight="1" x14ac:dyDescent="0.3">
      <c r="A131" s="100">
        <v>351</v>
      </c>
      <c r="B131" s="948" t="s">
        <v>1897</v>
      </c>
      <c r="C131" s="4" t="s">
        <v>719</v>
      </c>
      <c r="D131" s="21" t="s">
        <v>722</v>
      </c>
      <c r="E131" s="371" t="e">
        <f>INDEX('PY1 Data(H)'!$A$1:$CZ$265,MATCH('Unit Data from Audit Worksheet'!$A131,'PY1 Data(H)'!$A$1:$A$258,0),MATCH('Unit Data from Audit Worksheet'!$D$2,'PY1 Data(H)'!$A$1:$CZ$1,0))</f>
        <v>#N/A</v>
      </c>
      <c r="F131" s="793">
        <v>0</v>
      </c>
      <c r="G131" s="401">
        <f t="shared" ref="G131:G136" si="2">IF(F131&lt;0,"Error: Enter as positive.",)</f>
        <v>0</v>
      </c>
      <c r="H131" s="402"/>
      <c r="I131" s="17"/>
      <c r="J131" s="72"/>
      <c r="K131"/>
      <c r="L131" s="547"/>
    </row>
    <row r="132" spans="1:123" ht="93.75" customHeight="1" x14ac:dyDescent="0.3">
      <c r="A132" s="100">
        <v>191</v>
      </c>
      <c r="B132" s="4" t="s">
        <v>56</v>
      </c>
      <c r="C132" s="4" t="s">
        <v>719</v>
      </c>
      <c r="D132" s="21" t="s">
        <v>723</v>
      </c>
      <c r="E132" s="371" t="e">
        <f>INDEX('PY1 Data(H)'!$A$1:$CZ$265,MATCH('Unit Data from Audit Worksheet'!$A132,'PY1 Data(H)'!$A$1:$A$258,0),MATCH('Unit Data from Audit Worksheet'!$D$2,'PY1 Data(H)'!$A$1:$CZ$1,0))</f>
        <v>#N/A</v>
      </c>
      <c r="F132" s="793">
        <v>0</v>
      </c>
      <c r="G132" s="401">
        <f t="shared" si="2"/>
        <v>0</v>
      </c>
      <c r="H132" s="402"/>
      <c r="I132" s="17"/>
      <c r="J132" s="72"/>
      <c r="K132"/>
      <c r="L132" s="547"/>
    </row>
    <row r="133" spans="1:123" ht="81.599999999999994" customHeight="1" x14ac:dyDescent="0.3">
      <c r="A133" s="100">
        <v>1053</v>
      </c>
      <c r="B133" s="778" t="s">
        <v>578</v>
      </c>
      <c r="C133" s="778" t="s">
        <v>1438</v>
      </c>
      <c r="D133" s="779" t="s">
        <v>1476</v>
      </c>
      <c r="E133" s="371" t="e">
        <f>INDEX('PY1 Data(H)'!$A$1:$CZ$265,MATCH('Unit Data from Audit Worksheet'!$A133,'PY1 Data(H)'!$A$1:$A$258,0),MATCH('Unit Data from Audit Worksheet'!$D$2,'PY1 Data(H)'!$A$1:$CZ$1,0))</f>
        <v>#N/A</v>
      </c>
      <c r="F133" s="793">
        <v>0</v>
      </c>
      <c r="G133" s="401"/>
      <c r="H133" s="402"/>
      <c r="I133" s="17"/>
      <c r="J133" s="72"/>
      <c r="K133" s="180"/>
      <c r="L133" s="547"/>
      <c r="M133" s="180"/>
      <c r="Z133" s="180"/>
      <c r="AA133" s="180"/>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c r="CV133" s="180"/>
      <c r="CW133" s="180"/>
      <c r="CX133" s="180"/>
      <c r="CY133" s="180"/>
      <c r="CZ133" s="180"/>
      <c r="DA133" s="180"/>
      <c r="DB133" s="180"/>
      <c r="DC133" s="180"/>
      <c r="DD133" s="180"/>
      <c r="DE133" s="180"/>
      <c r="DF133" s="180"/>
      <c r="DG133" s="180"/>
      <c r="DH133" s="180"/>
      <c r="DI133" s="180"/>
      <c r="DJ133" s="180"/>
      <c r="DK133" s="180"/>
      <c r="DL133" s="180"/>
      <c r="DM133" s="180"/>
      <c r="DN133" s="180"/>
      <c r="DO133" s="180"/>
      <c r="DP133" s="180"/>
      <c r="DQ133" s="180"/>
      <c r="DR133" s="180"/>
      <c r="DS133" s="180"/>
    </row>
    <row r="134" spans="1:123" ht="78.599999999999994" customHeight="1" x14ac:dyDescent="0.3">
      <c r="A134" s="100">
        <v>352</v>
      </c>
      <c r="B134" s="4" t="s">
        <v>67</v>
      </c>
      <c r="C134" s="4" t="s">
        <v>719</v>
      </c>
      <c r="D134" s="26" t="s">
        <v>647</v>
      </c>
      <c r="E134" s="371" t="e">
        <f>INDEX('PY1 Data(H)'!$A$1:$CZ$265,MATCH('Unit Data from Audit Worksheet'!$A134,'PY1 Data(H)'!$A$1:$A$258,0),MATCH('Unit Data from Audit Worksheet'!$D$2,'PY1 Data(H)'!$A$1:$CZ$1,0))</f>
        <v>#N/A</v>
      </c>
      <c r="F134" s="793">
        <v>0</v>
      </c>
      <c r="G134" s="401">
        <f t="shared" si="2"/>
        <v>0</v>
      </c>
      <c r="H134" s="18"/>
      <c r="I134" s="17"/>
      <c r="J134" s="17"/>
      <c r="K134"/>
      <c r="L134" s="547"/>
    </row>
    <row r="135" spans="1:123" ht="79.95" customHeight="1" x14ac:dyDescent="0.3">
      <c r="A135" s="100">
        <v>986</v>
      </c>
      <c r="B135" s="948" t="s">
        <v>1898</v>
      </c>
      <c r="C135" s="373" t="s">
        <v>719</v>
      </c>
      <c r="D135" s="26" t="s">
        <v>584</v>
      </c>
      <c r="E135" s="371" t="e">
        <f>INDEX('PY1 Data(H)'!$A$1:$CZ$265,MATCH('Unit Data from Audit Worksheet'!$A135,'PY1 Data(H)'!$A$1:$A$258,0),MATCH('Unit Data from Audit Worksheet'!$D$2,'PY1 Data(H)'!$A$1:$CZ$1,0))</f>
        <v>#N/A</v>
      </c>
      <c r="F135" s="793">
        <v>0</v>
      </c>
      <c r="G135" s="401">
        <f t="shared" si="2"/>
        <v>0</v>
      </c>
      <c r="H135" s="402"/>
      <c r="I135" s="17"/>
      <c r="J135" s="72"/>
      <c r="K135"/>
      <c r="L135" s="547"/>
    </row>
    <row r="136" spans="1:123" ht="79.2" customHeight="1" x14ac:dyDescent="0.3">
      <c r="A136" s="100">
        <v>353</v>
      </c>
      <c r="B136" s="4" t="s">
        <v>67</v>
      </c>
      <c r="C136" s="4" t="s">
        <v>719</v>
      </c>
      <c r="D136" s="26" t="s">
        <v>135</v>
      </c>
      <c r="E136" s="371" t="e">
        <f>INDEX('PY1 Data(H)'!$A$1:$CZ$265,MATCH('Unit Data from Audit Worksheet'!$A136,'PY1 Data(H)'!$A$1:$A$258,0),MATCH('Unit Data from Audit Worksheet'!$D$2,'PY1 Data(H)'!$A$1:$CZ$1,0))</f>
        <v>#N/A</v>
      </c>
      <c r="F136" s="793">
        <v>0</v>
      </c>
      <c r="G136" s="401">
        <f t="shared" si="2"/>
        <v>0</v>
      </c>
      <c r="H136" s="402"/>
      <c r="I136" s="17"/>
      <c r="J136" s="72"/>
      <c r="K136"/>
      <c r="L136" s="547"/>
    </row>
    <row r="137" spans="1:123" ht="138" customHeight="1" x14ac:dyDescent="0.3">
      <c r="A137" s="100">
        <v>50</v>
      </c>
      <c r="B137" s="4" t="s">
        <v>63</v>
      </c>
      <c r="C137" s="4" t="s">
        <v>719</v>
      </c>
      <c r="D137" s="383" t="s">
        <v>724</v>
      </c>
      <c r="E137" s="371" t="e">
        <f>INDEX('PY1 Data(H)'!$A$1:$CZ$265,MATCH('Unit Data from Audit Worksheet'!$A137,'PY1 Data(H)'!$A$1:$A$258,0),MATCH('Unit Data from Audit Worksheet'!$D$2,'PY1 Data(H)'!$A$1:$CZ$1,0))</f>
        <v>#N/A</v>
      </c>
      <c r="F137" s="793">
        <v>0</v>
      </c>
      <c r="G137" s="401">
        <f>IF(H137=0,,"Error: Total revenues less total expenses do not equal total change in net position. Account number 84-85+350-351+191+352-353-50=0  The amount of the formula is in the cell to the right")</f>
        <v>0</v>
      </c>
      <c r="H137" s="404">
        <f>F126-F128+F130-F131+F132+F134-F136-F137</f>
        <v>0</v>
      </c>
      <c r="I137" s="17"/>
      <c r="J137" s="72"/>
      <c r="K137"/>
      <c r="L137" s="547"/>
    </row>
    <row r="138" spans="1:123" ht="138" customHeight="1" x14ac:dyDescent="0.3">
      <c r="A138" s="100">
        <v>377</v>
      </c>
      <c r="B138" s="4" t="s">
        <v>67</v>
      </c>
      <c r="C138" s="4" t="s">
        <v>719</v>
      </c>
      <c r="D138" s="383" t="s">
        <v>725</v>
      </c>
      <c r="E138" s="371" t="e">
        <f>INDEX('PY1 Data(H)'!$A$1:$CZ$265,MATCH('Unit Data from Audit Worksheet'!$A138,'PY1 Data(H)'!$A$1:$A$258,0),MATCH('Unit Data from Audit Worksheet'!$D$2,'PY1 Data(H)'!$A$1:$CZ$1,0))</f>
        <v>#N/A</v>
      </c>
      <c r="F138" s="793">
        <v>0</v>
      </c>
      <c r="G138" s="754" t="e">
        <f>IF(F103-F137-F138=E103,,"Error: Beginning Balance does not agree with our records.  Acct #s (83-50-377)=prior year 83 The amount of the formula is in the cell to the right")</f>
        <v>#N/A</v>
      </c>
      <c r="H138" s="755" t="e">
        <f>+F103-F137-F138-E103</f>
        <v>#N/A</v>
      </c>
      <c r="I138" s="1009" t="e">
        <f>IF(H138=0," ","If the out of balance is because prior years data is not populated in cell E103, disregard the error message. Do not include prior year's ending balance in cell F138.")</f>
        <v>#N/A</v>
      </c>
      <c r="J138" s="763"/>
      <c r="K138"/>
      <c r="L138" s="547"/>
    </row>
    <row r="139" spans="1:123" ht="78.599999999999994" customHeight="1" x14ac:dyDescent="0.3">
      <c r="A139" s="100">
        <v>537</v>
      </c>
      <c r="B139" s="373" t="s">
        <v>58</v>
      </c>
      <c r="C139" s="373" t="s">
        <v>719</v>
      </c>
      <c r="D139" s="370" t="s">
        <v>1456</v>
      </c>
      <c r="E139" s="792" t="e">
        <f>INDEX('PY1 Data(H)'!$A$1:$CZ$265,MATCH('Unit Data from Audit Worksheet'!$A139,'PY1 Data(H)'!$A$1:$A$258,0),MATCH('Unit Data from Audit Worksheet'!$D$2,'PY1 Data(H)'!$A$1:$CZ$1,0))</f>
        <v>#N/A</v>
      </c>
      <c r="F139" s="184"/>
      <c r="G139" s="401"/>
      <c r="H139" s="402"/>
      <c r="I139" s="402"/>
      <c r="J139" s="403"/>
      <c r="K139"/>
      <c r="L139" s="547"/>
    </row>
    <row r="140" spans="1:123" ht="96.75" customHeight="1" x14ac:dyDescent="0.3">
      <c r="A140" s="100">
        <v>538</v>
      </c>
      <c r="B140" s="373" t="s">
        <v>58</v>
      </c>
      <c r="C140" s="373" t="s">
        <v>719</v>
      </c>
      <c r="D140" s="370" t="s">
        <v>1457</v>
      </c>
      <c r="E140" s="792" t="e">
        <f>INDEX('PY1 Data(H)'!$A$1:$CZ$265,MATCH('Unit Data from Audit Worksheet'!$A140,'PY1 Data(H)'!$A$1:$A$258,0),MATCH('Unit Data from Audit Worksheet'!$D$2,'PY1 Data(H)'!$A$1:$CZ$1,0))</f>
        <v>#N/A</v>
      </c>
      <c r="F140" s="184"/>
      <c r="G140" s="401"/>
      <c r="H140" s="402"/>
      <c r="I140" s="402"/>
      <c r="J140" s="403"/>
      <c r="K140"/>
      <c r="L140" s="547"/>
    </row>
    <row r="141" spans="1:123" ht="26.25" customHeight="1" x14ac:dyDescent="0.3">
      <c r="A141" s="100"/>
      <c r="B141" s="704" t="s">
        <v>6</v>
      </c>
      <c r="C141" s="499"/>
      <c r="D141" s="467"/>
      <c r="E141" s="485"/>
      <c r="F141" s="485"/>
      <c r="G141" s="486"/>
      <c r="H141" s="17"/>
      <c r="I141" s="17"/>
      <c r="J141" s="72"/>
      <c r="K141"/>
      <c r="L141" s="547"/>
    </row>
    <row r="142" spans="1:123" ht="91.95" customHeight="1" x14ac:dyDescent="0.3">
      <c r="A142" s="100">
        <v>97</v>
      </c>
      <c r="B142" s="4" t="s">
        <v>67</v>
      </c>
      <c r="C142" s="4" t="s">
        <v>726</v>
      </c>
      <c r="D142" s="26" t="s">
        <v>155</v>
      </c>
      <c r="E142" s="371" t="e">
        <f>INDEX('PY1 Data(H)'!$A$1:$CZ$265,MATCH('Unit Data from Audit Worksheet'!$A142,'PY1 Data(H)'!$A$1:$A$258,0),MATCH('Unit Data from Audit Worksheet'!$D$2,'PY1 Data(H)'!$A$1:$CZ$1,0))</f>
        <v>#N/A</v>
      </c>
      <c r="F142" s="793">
        <v>0</v>
      </c>
      <c r="G142" s="407"/>
      <c r="H142" s="17"/>
      <c r="I142" s="17"/>
      <c r="J142" s="72"/>
      <c r="K142"/>
      <c r="L142" s="547"/>
    </row>
    <row r="143" spans="1:123" ht="72.599999999999994" customHeight="1" x14ac:dyDescent="0.3">
      <c r="A143" s="100">
        <v>93</v>
      </c>
      <c r="B143" s="948" t="s">
        <v>1902</v>
      </c>
      <c r="C143" s="4" t="s">
        <v>726</v>
      </c>
      <c r="D143" s="26" t="s">
        <v>151</v>
      </c>
      <c r="E143" s="371" t="e">
        <f>INDEX('PY1 Data(H)'!$A$1:$CZ$265,MATCH('Unit Data from Audit Worksheet'!$A143,'PY1 Data(H)'!$A$1:$A$258,0),MATCH('Unit Data from Audit Worksheet'!$D$2,'PY1 Data(H)'!$A$1:$CZ$1,0))</f>
        <v>#N/A</v>
      </c>
      <c r="F143" s="793">
        <v>0</v>
      </c>
      <c r="G143" s="401">
        <f>IF(F142&gt;F143,"Error: Charges for services exceed total operating revenues. Account number 97&gt;93",)</f>
        <v>0</v>
      </c>
      <c r="H143" s="402"/>
      <c r="I143" s="17"/>
      <c r="J143" s="72"/>
      <c r="K143"/>
      <c r="L143" s="547"/>
    </row>
    <row r="144" spans="1:123" ht="76.2" customHeight="1" x14ac:dyDescent="0.3">
      <c r="A144" s="100">
        <v>99</v>
      </c>
      <c r="B144" s="4" t="s">
        <v>57</v>
      </c>
      <c r="C144" s="4" t="s">
        <v>726</v>
      </c>
      <c r="D144" s="26" t="s">
        <v>156</v>
      </c>
      <c r="E144" s="371" t="e">
        <f>INDEX('PY1 Data(H)'!$A$1:$CZ$265,MATCH('Unit Data from Audit Worksheet'!$A144,'PY1 Data(H)'!$A$1:$A$258,0),MATCH('Unit Data from Audit Worksheet'!$D$2,'PY1 Data(H)'!$A$1:$CZ$1,0))</f>
        <v>#N/A</v>
      </c>
      <c r="F144" s="793">
        <v>0</v>
      </c>
      <c r="G144" s="401">
        <f t="shared" ref="G144:G153" si="3">IF(F144&lt;0,"Error: Enter as positive.",)</f>
        <v>0</v>
      </c>
      <c r="H144" s="402"/>
      <c r="I144" s="17"/>
      <c r="J144" s="72"/>
      <c r="K144"/>
      <c r="L144" s="547"/>
    </row>
    <row r="145" spans="1:123" ht="73.2" customHeight="1" x14ac:dyDescent="0.3">
      <c r="A145" s="100">
        <v>52</v>
      </c>
      <c r="B145" s="948" t="s">
        <v>1903</v>
      </c>
      <c r="C145" s="4" t="s">
        <v>726</v>
      </c>
      <c r="D145" s="26" t="s">
        <v>152</v>
      </c>
      <c r="E145" s="371" t="e">
        <f>INDEX('PY1 Data(H)'!$A$1:$CZ$265,MATCH('Unit Data from Audit Worksheet'!$A145,'PY1 Data(H)'!$A$1:$A$258,0),MATCH('Unit Data from Audit Worksheet'!$D$2,'PY1 Data(H)'!$A$1:$CZ$1,0))</f>
        <v>#N/A</v>
      </c>
      <c r="F145" s="793">
        <v>0</v>
      </c>
      <c r="G145" s="401">
        <f t="shared" si="3"/>
        <v>0</v>
      </c>
      <c r="H145" s="402"/>
      <c r="I145" s="17"/>
      <c r="J145" s="72"/>
      <c r="K145"/>
      <c r="L145" s="547"/>
    </row>
    <row r="146" spans="1:123" ht="81" customHeight="1" x14ac:dyDescent="0.3">
      <c r="A146" s="100">
        <v>94</v>
      </c>
      <c r="B146" s="948" t="s">
        <v>1902</v>
      </c>
      <c r="C146" s="4" t="s">
        <v>726</v>
      </c>
      <c r="D146" s="26" t="s">
        <v>153</v>
      </c>
      <c r="E146" s="371" t="e">
        <f>INDEX('PY1 Data(H)'!$A$1:$CZ$265,MATCH('Unit Data from Audit Worksheet'!$A146,'PY1 Data(H)'!$A$1:$A$258,0),MATCH('Unit Data from Audit Worksheet'!$D$2,'PY1 Data(H)'!$A$1:$CZ$1,0))</f>
        <v>#N/A</v>
      </c>
      <c r="F146" s="793">
        <v>0</v>
      </c>
      <c r="G146" s="401">
        <f t="shared" si="3"/>
        <v>0</v>
      </c>
      <c r="H146" s="402"/>
      <c r="I146" s="17"/>
      <c r="J146" s="72"/>
      <c r="K146"/>
      <c r="L146" s="547"/>
    </row>
    <row r="147" spans="1:123" ht="85.95" customHeight="1" x14ac:dyDescent="0.3">
      <c r="A147" s="100">
        <v>98</v>
      </c>
      <c r="B147" s="948" t="s">
        <v>1902</v>
      </c>
      <c r="C147" s="4" t="s">
        <v>726</v>
      </c>
      <c r="D147" s="26" t="s">
        <v>154</v>
      </c>
      <c r="E147" s="371" t="e">
        <f>INDEX('PY1 Data(H)'!$A$1:$CZ$265,MATCH('Unit Data from Audit Worksheet'!$A147,'PY1 Data(H)'!$A$1:$A$258,0),MATCH('Unit Data from Audit Worksheet'!$D$2,'PY1 Data(H)'!$A$1:$CZ$1,0))</f>
        <v>#N/A</v>
      </c>
      <c r="F147" s="793">
        <v>0</v>
      </c>
      <c r="G147" s="401">
        <f t="shared" si="3"/>
        <v>0</v>
      </c>
      <c r="H147" s="402"/>
      <c r="I147" s="17"/>
      <c r="J147" s="72"/>
      <c r="K147"/>
      <c r="L147" s="547"/>
    </row>
    <row r="148" spans="1:123" ht="84" customHeight="1" x14ac:dyDescent="0.3">
      <c r="A148" s="100">
        <v>363</v>
      </c>
      <c r="B148" s="4" t="s">
        <v>55</v>
      </c>
      <c r="C148" s="4" t="s">
        <v>726</v>
      </c>
      <c r="D148" s="21" t="s">
        <v>727</v>
      </c>
      <c r="E148" s="371" t="e">
        <f>INDEX('PY1 Data(H)'!$A$1:$CZ$265,MATCH('Unit Data from Audit Worksheet'!$A148,'PY1 Data(H)'!$A$1:$A$258,0),MATCH('Unit Data from Audit Worksheet'!$D$2,'PY1 Data(H)'!$A$1:$CZ$1,0))</f>
        <v>#N/A</v>
      </c>
      <c r="F148" s="793">
        <v>0</v>
      </c>
      <c r="G148" s="401">
        <f t="shared" si="3"/>
        <v>0</v>
      </c>
      <c r="H148" s="402"/>
      <c r="I148" s="17"/>
      <c r="J148" s="72"/>
      <c r="K148"/>
      <c r="L148" s="547"/>
    </row>
    <row r="149" spans="1:123" ht="76.95" customHeight="1" x14ac:dyDescent="0.3">
      <c r="A149" s="100">
        <v>364</v>
      </c>
      <c r="B149" s="948" t="s">
        <v>1905</v>
      </c>
      <c r="C149" s="4" t="s">
        <v>726</v>
      </c>
      <c r="D149" s="21" t="s">
        <v>728</v>
      </c>
      <c r="E149" s="371" t="e">
        <f>INDEX('PY1 Data(H)'!$A$1:$CZ$265,MATCH('Unit Data from Audit Worksheet'!$A149,'PY1 Data(H)'!$A$1:$A$258,0),MATCH('Unit Data from Audit Worksheet'!$D$2,'PY1 Data(H)'!$A$1:$CZ$1,0))</f>
        <v>#N/A</v>
      </c>
      <c r="F149" s="793">
        <v>0</v>
      </c>
      <c r="G149" s="401">
        <f t="shared" si="3"/>
        <v>0</v>
      </c>
      <c r="H149" s="402"/>
      <c r="I149" s="17"/>
      <c r="J149" s="72"/>
      <c r="K149"/>
      <c r="L149" s="547"/>
    </row>
    <row r="150" spans="1:123" ht="86.4" customHeight="1" x14ac:dyDescent="0.3">
      <c r="A150" s="100">
        <v>192</v>
      </c>
      <c r="B150" s="4" t="s">
        <v>57</v>
      </c>
      <c r="C150" s="4" t="s">
        <v>726</v>
      </c>
      <c r="D150" s="21" t="s">
        <v>729</v>
      </c>
      <c r="E150" s="371" t="e">
        <f>INDEX('PY1 Data(H)'!$A$1:$CZ$265,MATCH('Unit Data from Audit Worksheet'!$A150,'PY1 Data(H)'!$A$1:$A$258,0),MATCH('Unit Data from Audit Worksheet'!$D$2,'PY1 Data(H)'!$A$1:$CZ$1,0))</f>
        <v>#N/A</v>
      </c>
      <c r="F150" s="793">
        <v>0</v>
      </c>
      <c r="G150" s="401">
        <f t="shared" si="3"/>
        <v>0</v>
      </c>
      <c r="H150" s="402"/>
      <c r="I150" s="17"/>
      <c r="J150" s="72"/>
      <c r="K150"/>
      <c r="L150" s="547"/>
    </row>
    <row r="151" spans="1:123" ht="80.400000000000006" customHeight="1" x14ac:dyDescent="0.3">
      <c r="A151" s="100">
        <v>1054</v>
      </c>
      <c r="B151" s="373" t="s">
        <v>578</v>
      </c>
      <c r="C151" s="373" t="s">
        <v>1436</v>
      </c>
      <c r="D151" s="779" t="s">
        <v>1477</v>
      </c>
      <c r="E151" s="371" t="e">
        <f>INDEX('PY1 Data(H)'!$A$1:$CZ$265,MATCH('Unit Data from Audit Worksheet'!$A151,'PY1 Data(H)'!$A$1:$A$258,0),MATCH('Unit Data from Audit Worksheet'!$D$2,'PY1 Data(H)'!$A$1:$CZ$1,0))</f>
        <v>#N/A</v>
      </c>
      <c r="F151" s="793">
        <v>0</v>
      </c>
      <c r="G151" s="401"/>
      <c r="H151" s="402"/>
      <c r="I151" s="17"/>
      <c r="J151" s="72"/>
      <c r="K151" s="180"/>
      <c r="L151" s="547"/>
      <c r="M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c r="CV151" s="180"/>
      <c r="CW151" s="180"/>
      <c r="CX151" s="180"/>
      <c r="CY151" s="180"/>
      <c r="CZ151" s="180"/>
      <c r="DA151" s="180"/>
      <c r="DB151" s="180"/>
      <c r="DC151" s="180"/>
      <c r="DD151" s="180"/>
      <c r="DE151" s="180"/>
      <c r="DF151" s="180"/>
      <c r="DG151" s="180"/>
      <c r="DH151" s="180"/>
      <c r="DI151" s="180"/>
      <c r="DJ151" s="180"/>
      <c r="DK151" s="180"/>
      <c r="DL151" s="180"/>
      <c r="DM151" s="180"/>
      <c r="DN151" s="180"/>
      <c r="DO151" s="180"/>
      <c r="DP151" s="180"/>
      <c r="DQ151" s="180"/>
      <c r="DR151" s="180"/>
      <c r="DS151" s="180"/>
    </row>
    <row r="152" spans="1:123" ht="94.2" customHeight="1" x14ac:dyDescent="0.3">
      <c r="A152" s="100">
        <v>365</v>
      </c>
      <c r="B152" s="4" t="s">
        <v>65</v>
      </c>
      <c r="C152" s="4" t="s">
        <v>726</v>
      </c>
      <c r="D152" s="21" t="s">
        <v>730</v>
      </c>
      <c r="E152" s="371" t="e">
        <f>INDEX('PY1 Data(H)'!$A$1:$CZ$265,MATCH('Unit Data from Audit Worksheet'!$A152,'PY1 Data(H)'!$A$1:$A$258,0),MATCH('Unit Data from Audit Worksheet'!$D$2,'PY1 Data(H)'!$A$1:$CZ$1,0))</f>
        <v>#N/A</v>
      </c>
      <c r="F152" s="793">
        <v>0</v>
      </c>
      <c r="G152" s="401">
        <f t="shared" si="3"/>
        <v>0</v>
      </c>
      <c r="H152" s="402"/>
      <c r="I152" s="17"/>
      <c r="J152" s="72"/>
      <c r="K152"/>
      <c r="L152" s="547"/>
    </row>
    <row r="153" spans="1:123" ht="84.75" customHeight="1" x14ac:dyDescent="0.3">
      <c r="A153" s="100">
        <v>366</v>
      </c>
      <c r="B153" s="948" t="s">
        <v>1902</v>
      </c>
      <c r="C153" s="4" t="s">
        <v>726</v>
      </c>
      <c r="D153" s="21" t="s">
        <v>731</v>
      </c>
      <c r="E153" s="371" t="e">
        <f>INDEX('PY1 Data(H)'!$A$1:$CZ$265,MATCH('Unit Data from Audit Worksheet'!$A153,'PY1 Data(H)'!$A$1:$A$258,0),MATCH('Unit Data from Audit Worksheet'!$D$2,'PY1 Data(H)'!$A$1:$CZ$1,0))</f>
        <v>#N/A</v>
      </c>
      <c r="F153" s="793">
        <v>0</v>
      </c>
      <c r="G153" s="401">
        <f t="shared" si="3"/>
        <v>0</v>
      </c>
      <c r="H153" s="402"/>
      <c r="I153" s="17"/>
      <c r="J153" s="72"/>
      <c r="K153"/>
      <c r="L153" s="547"/>
    </row>
    <row r="154" spans="1:123" s="18" customFormat="1" ht="138" customHeight="1" x14ac:dyDescent="0.3">
      <c r="A154" s="100">
        <v>53</v>
      </c>
      <c r="B154" s="373" t="s">
        <v>65</v>
      </c>
      <c r="C154" s="373" t="s">
        <v>726</v>
      </c>
      <c r="D154" s="383" t="s">
        <v>732</v>
      </c>
      <c r="E154" s="371" t="e">
        <f>INDEX('PY1 Data(H)'!$A$1:$CZ$265,MATCH('Unit Data from Audit Worksheet'!$A154,'PY1 Data(H)'!$A$1:$A$258,0),MATCH('Unit Data from Audit Worksheet'!$D$2,'PY1 Data(H)'!$A$1:$CZ$1,0))</f>
        <v>#N/A</v>
      </c>
      <c r="F154" s="793">
        <v>0</v>
      </c>
      <c r="G154" s="401">
        <f>IF(H154=0,,"Error: Total revenues less total expenses do not equal total change in net position. Account number 93-94+363-364+192+365-366-53=0  The amount of the formula is in the cell to the right")</f>
        <v>0</v>
      </c>
      <c r="H154" s="404">
        <f>+F143-F146+F148-F149+F150+F152-F153-F154</f>
        <v>0</v>
      </c>
      <c r="I154" s="17"/>
      <c r="J154" s="72"/>
      <c r="K154"/>
      <c r="L154" s="547"/>
      <c r="M154"/>
      <c r="O154" s="186"/>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row>
    <row r="155" spans="1:123" s="18" customFormat="1" ht="138" customHeight="1" x14ac:dyDescent="0.3">
      <c r="A155" s="100">
        <v>378</v>
      </c>
      <c r="B155" s="277" t="s">
        <v>55</v>
      </c>
      <c r="C155" s="373" t="s">
        <v>726</v>
      </c>
      <c r="D155" s="383" t="s">
        <v>733</v>
      </c>
      <c r="E155" s="371" t="e">
        <f>INDEX('PY1 Data(H)'!$A$1:$CZ$265,MATCH('Unit Data from Audit Worksheet'!$A155,'PY1 Data(H)'!$A$1:$A$258,0),MATCH('Unit Data from Audit Worksheet'!$D$2,'PY1 Data(H)'!$A$1:$CZ$1,0))</f>
        <v>#N/A</v>
      </c>
      <c r="F155" s="793">
        <v>0</v>
      </c>
      <c r="G155" s="752" t="e">
        <f>IF(F122-F154-F155=E122,,"Error: Beginning Balance does not agree with our records.  Acct #s (362-53-378)=prior year 362  The amount of the formula is in the cell to the right")</f>
        <v>#N/A</v>
      </c>
      <c r="H155" s="755" t="e">
        <f>+F122-F154-F155-E122</f>
        <v>#N/A</v>
      </c>
      <c r="I155" s="804" t="e">
        <f>IF(H155=0," ","If the out of balance is because prior years data is not populated in cell E122, disregard the error message. Do not include prior year's ending balance in cell F155.")</f>
        <v>#N/A</v>
      </c>
      <c r="J155" s="763"/>
      <c r="K155"/>
      <c r="L155" s="547"/>
      <c r="M155"/>
      <c r="O155" s="186"/>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row>
    <row r="156" spans="1:123" ht="30.75" customHeight="1" x14ac:dyDescent="0.3">
      <c r="A156" s="100"/>
      <c r="B156" s="489" t="s">
        <v>424</v>
      </c>
      <c r="C156" s="704"/>
      <c r="D156" s="492"/>
      <c r="E156" s="493"/>
      <c r="F156" s="493"/>
      <c r="G156" s="474"/>
      <c r="H156" s="17"/>
      <c r="I156" s="17"/>
      <c r="J156" s="72"/>
      <c r="K156"/>
      <c r="L156" s="547"/>
    </row>
    <row r="157" spans="1:123" ht="13.5" customHeight="1" x14ac:dyDescent="0.3">
      <c r="A157" s="100"/>
      <c r="B157" s="736" t="s">
        <v>734</v>
      </c>
      <c r="C157" s="499"/>
      <c r="D157" s="467"/>
      <c r="E157" s="494"/>
      <c r="F157" s="494"/>
      <c r="G157" s="486"/>
      <c r="H157" s="17"/>
      <c r="I157" s="17"/>
      <c r="J157" s="72"/>
      <c r="K157"/>
      <c r="L157" s="547"/>
    </row>
    <row r="158" spans="1:123" ht="17.25" customHeight="1" x14ac:dyDescent="0.3">
      <c r="A158" s="100"/>
      <c r="B158" s="490" t="s">
        <v>735</v>
      </c>
      <c r="C158" s="499"/>
      <c r="D158" s="481"/>
      <c r="E158" s="495"/>
      <c r="F158" s="495"/>
      <c r="G158" s="488"/>
      <c r="H158" s="17"/>
      <c r="I158" s="17"/>
      <c r="J158" s="72"/>
      <c r="K158"/>
      <c r="L158" s="547"/>
    </row>
    <row r="159" spans="1:123" ht="13.5" customHeight="1" x14ac:dyDescent="0.3">
      <c r="A159" s="100"/>
      <c r="B159" s="490" t="s">
        <v>23</v>
      </c>
      <c r="C159" s="499"/>
      <c r="D159" s="481"/>
      <c r="E159" s="495"/>
      <c r="F159" s="495"/>
      <c r="G159" s="488"/>
      <c r="H159" s="17"/>
      <c r="I159" s="17"/>
      <c r="J159" s="72"/>
      <c r="K159"/>
      <c r="L159" s="547"/>
    </row>
    <row r="160" spans="1:123" ht="59.25" customHeight="1" x14ac:dyDescent="0.3">
      <c r="A160" s="100">
        <v>51</v>
      </c>
      <c r="B160" s="4" t="s">
        <v>283</v>
      </c>
      <c r="C160" s="462" t="s">
        <v>736</v>
      </c>
      <c r="D160" s="21" t="s">
        <v>737</v>
      </c>
      <c r="E160" s="371" t="e">
        <f>INDEX('PY1 Data(H)'!$A$1:$CZ$265,MATCH('Unit Data from Audit Worksheet'!$A160,'PY1 Data(H)'!$A$1:$A$258,0),MATCH('Unit Data from Audit Worksheet'!$D$2,'PY1 Data(H)'!$A$1:$CZ$1,0))</f>
        <v>#N/A</v>
      </c>
      <c r="F160" s="793">
        <v>0</v>
      </c>
      <c r="G160" s="407"/>
      <c r="H160" s="17"/>
      <c r="I160" s="17"/>
      <c r="J160" s="72"/>
      <c r="K160"/>
      <c r="L160" s="547"/>
    </row>
    <row r="161" spans="1:123" ht="45" customHeight="1" x14ac:dyDescent="0.3">
      <c r="A161" s="100">
        <v>332</v>
      </c>
      <c r="B161" s="4" t="s">
        <v>36</v>
      </c>
      <c r="C161" s="462" t="s">
        <v>736</v>
      </c>
      <c r="D161" s="21" t="s">
        <v>738</v>
      </c>
      <c r="E161" s="371" t="e">
        <f>INDEX('PY1 Data(H)'!$A$1:$CZ$265,MATCH('Unit Data from Audit Worksheet'!$A161,'PY1 Data(H)'!$A$1:$A$258,0),MATCH('Unit Data from Audit Worksheet'!$D$2,'PY1 Data(H)'!$A$1:$CZ$1,0))</f>
        <v>#N/A</v>
      </c>
      <c r="F161" s="793">
        <v>0</v>
      </c>
      <c r="G161" s="401">
        <f>IF(F161&lt;0,"Error: Enter as positive.",)</f>
        <v>0</v>
      </c>
      <c r="H161" s="17"/>
      <c r="I161" s="17"/>
      <c r="J161" s="72"/>
      <c r="K161"/>
      <c r="L161" s="547"/>
    </row>
    <row r="162" spans="1:123" ht="75" customHeight="1" x14ac:dyDescent="0.3">
      <c r="A162" s="100">
        <v>331</v>
      </c>
      <c r="B162" s="948" t="s">
        <v>1897</v>
      </c>
      <c r="C162" s="462" t="s">
        <v>736</v>
      </c>
      <c r="D162" s="21" t="s">
        <v>739</v>
      </c>
      <c r="E162" s="371" t="e">
        <f>INDEX('PY1 Data(H)'!$A$1:$CZ$265,MATCH('Unit Data from Audit Worksheet'!$A162,'PY1 Data(H)'!$A$1:$A$258,0),MATCH('Unit Data from Audit Worksheet'!$D$2,'PY1 Data(H)'!$A$1:$CZ$1,0))</f>
        <v>#N/A</v>
      </c>
      <c r="F162" s="793">
        <v>0</v>
      </c>
      <c r="G162" s="401">
        <f>IF(F162&lt;0,"Error: Enter as positive.",)</f>
        <v>0</v>
      </c>
      <c r="H162" s="17"/>
      <c r="I162" s="17"/>
      <c r="J162" s="72"/>
      <c r="K162"/>
      <c r="L162" s="547"/>
    </row>
    <row r="163" spans="1:123" ht="17.399999999999999" customHeight="1" x14ac:dyDescent="0.3">
      <c r="A163" s="100"/>
      <c r="B163" s="704" t="s">
        <v>6</v>
      </c>
      <c r="C163" s="499"/>
      <c r="D163" s="490"/>
      <c r="E163" s="494"/>
      <c r="F163" s="494"/>
      <c r="G163" s="496"/>
      <c r="H163" s="17"/>
      <c r="I163" s="17"/>
      <c r="J163" s="72"/>
      <c r="K163"/>
      <c r="L163" s="547"/>
    </row>
    <row r="164" spans="1:123" ht="48" customHeight="1" x14ac:dyDescent="0.3">
      <c r="A164" s="100">
        <v>55</v>
      </c>
      <c r="B164" s="4" t="s">
        <v>58</v>
      </c>
      <c r="C164" s="462" t="s">
        <v>740</v>
      </c>
      <c r="D164" s="21" t="s">
        <v>741</v>
      </c>
      <c r="E164" s="371" t="e">
        <f>INDEX('PY1 Data(H)'!$A$1:$CZ$265,MATCH('Unit Data from Audit Worksheet'!$A164,'PY1 Data(H)'!$A$1:$A$258,0),MATCH('Unit Data from Audit Worksheet'!$D$2,'PY1 Data(H)'!$A$1:$CZ$1,0))</f>
        <v>#N/A</v>
      </c>
      <c r="F164" s="793">
        <v>0</v>
      </c>
      <c r="G164" s="407"/>
      <c r="H164" s="17"/>
      <c r="I164" s="17"/>
      <c r="J164" s="72"/>
      <c r="K164"/>
      <c r="L164" s="547"/>
    </row>
    <row r="165" spans="1:123" ht="60" customHeight="1" x14ac:dyDescent="0.3">
      <c r="A165" s="100">
        <v>101</v>
      </c>
      <c r="B165" s="4" t="s">
        <v>64</v>
      </c>
      <c r="C165" s="462" t="s">
        <v>740</v>
      </c>
      <c r="D165" s="21" t="s">
        <v>742</v>
      </c>
      <c r="E165" s="371" t="e">
        <f>INDEX('PY1 Data(H)'!$A$1:$CZ$265,MATCH('Unit Data from Audit Worksheet'!$A165,'PY1 Data(H)'!$A$1:$A$258,0),MATCH('Unit Data from Audit Worksheet'!$D$2,'PY1 Data(H)'!$A$1:$CZ$1,0))</f>
        <v>#N/A</v>
      </c>
      <c r="F165" s="793">
        <v>0</v>
      </c>
      <c r="G165" s="401">
        <f>IF(F165&lt;0,"Error: Enter as positive.",)</f>
        <v>0</v>
      </c>
      <c r="H165" s="17"/>
      <c r="I165" s="17"/>
      <c r="J165" s="72"/>
      <c r="K165"/>
      <c r="L165" s="547"/>
    </row>
    <row r="166" spans="1:123" ht="71.25" customHeight="1" x14ac:dyDescent="0.3">
      <c r="A166" s="100">
        <v>100</v>
      </c>
      <c r="B166" s="948" t="s">
        <v>1902</v>
      </c>
      <c r="C166" s="462" t="s">
        <v>740</v>
      </c>
      <c r="D166" s="21" t="s">
        <v>739</v>
      </c>
      <c r="E166" s="371" t="e">
        <f>INDEX('PY1 Data(H)'!$A$1:$CZ$265,MATCH('Unit Data from Audit Worksheet'!$A166,'PY1 Data(H)'!$A$1:$A$258,0),MATCH('Unit Data from Audit Worksheet'!$D$2,'PY1 Data(H)'!$A$1:$CZ$1,0))</f>
        <v>#N/A</v>
      </c>
      <c r="F166" s="793">
        <v>0</v>
      </c>
      <c r="G166" s="401">
        <f>IF(F166&lt;0,"Error: Enter as positive.",)</f>
        <v>0</v>
      </c>
      <c r="H166" s="17"/>
      <c r="I166" s="17"/>
      <c r="J166" s="72"/>
      <c r="K166"/>
      <c r="L166" s="547"/>
    </row>
    <row r="167" spans="1:123" ht="31.2" customHeight="1" x14ac:dyDescent="0.3">
      <c r="A167" s="100"/>
      <c r="B167" s="489" t="s">
        <v>1569</v>
      </c>
      <c r="C167" s="704"/>
      <c r="D167" s="489"/>
      <c r="E167" s="489"/>
      <c r="F167" s="489"/>
      <c r="G167" s="489"/>
      <c r="H167" s="17"/>
      <c r="I167" s="17"/>
      <c r="J167" s="72"/>
      <c r="K167" s="180"/>
      <c r="L167" s="547"/>
      <c r="M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row>
    <row r="168" spans="1:123" ht="71.25" customHeight="1" x14ac:dyDescent="0.3">
      <c r="A168" s="773">
        <v>1060</v>
      </c>
      <c r="B168" s="373" t="s">
        <v>1447</v>
      </c>
      <c r="C168" s="409"/>
      <c r="D168" s="774" t="s">
        <v>1468</v>
      </c>
      <c r="E168" s="371" t="e">
        <f>INDEX('PY1 Data(H)'!$A$1:$CZ$265,MATCH('Unit Data from Audit Worksheet'!$A168,'PY1 Data(H)'!$A$1:$A$258,0),MATCH('Unit Data from Audit Worksheet'!$D$2,'PY1 Data(H)'!$A$1:$CZ$1,0))</f>
        <v>#N/A</v>
      </c>
      <c r="F168" s="793">
        <v>0</v>
      </c>
      <c r="G168" s="401"/>
      <c r="H168" s="17"/>
      <c r="I168" s="17"/>
      <c r="J168" s="72"/>
      <c r="K168" s="180"/>
      <c r="L168" s="547"/>
      <c r="M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80"/>
      <c r="DM168" s="180"/>
      <c r="DN168" s="180"/>
      <c r="DO168" s="180"/>
      <c r="DP168" s="180"/>
      <c r="DQ168" s="180"/>
      <c r="DR168" s="180"/>
      <c r="DS168" s="180"/>
    </row>
    <row r="169" spans="1:123" ht="71.25" customHeight="1" x14ac:dyDescent="0.3">
      <c r="A169" s="773">
        <v>1061</v>
      </c>
      <c r="B169" s="373" t="s">
        <v>1447</v>
      </c>
      <c r="C169" s="409"/>
      <c r="D169" s="774" t="s">
        <v>1469</v>
      </c>
      <c r="E169" s="371" t="e">
        <f>INDEX('PY1 Data(H)'!$A$1:$CZ$265,MATCH('Unit Data from Audit Worksheet'!$A169,'PY1 Data(H)'!$A$1:$A$258,0),MATCH('Unit Data from Audit Worksheet'!$D$2,'PY1 Data(H)'!$A$1:$CZ$1,0))</f>
        <v>#N/A</v>
      </c>
      <c r="F169" s="793">
        <v>0</v>
      </c>
      <c r="G169" s="401"/>
      <c r="H169" s="17"/>
      <c r="I169" s="17"/>
      <c r="J169" s="72"/>
      <c r="K169" s="180"/>
      <c r="L169" s="547"/>
      <c r="M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80"/>
      <c r="DM169" s="180"/>
      <c r="DN169" s="180"/>
      <c r="DO169" s="180"/>
      <c r="DP169" s="180"/>
      <c r="DQ169" s="180"/>
      <c r="DR169" s="180"/>
      <c r="DS169" s="180"/>
    </row>
    <row r="170" spans="1:123" ht="98.4" customHeight="1" x14ac:dyDescent="0.3">
      <c r="A170" s="773">
        <v>1062</v>
      </c>
      <c r="B170" s="373" t="s">
        <v>1447</v>
      </c>
      <c r="C170" s="409"/>
      <c r="D170" s="774" t="s">
        <v>1885</v>
      </c>
      <c r="E170" s="371" t="e">
        <f>INDEX('PY1 Data(H)'!$A$1:$CZ$265,MATCH('Unit Data from Audit Worksheet'!$A170,'PY1 Data(H)'!$A$1:$A$258,0),MATCH('Unit Data from Audit Worksheet'!$D$2,'PY1 Data(H)'!$A$1:$CZ$1,0))</f>
        <v>#N/A</v>
      </c>
      <c r="F170" s="184"/>
      <c r="G170" s="401"/>
      <c r="H170" s="17"/>
      <c r="I170" s="17"/>
      <c r="J170" s="72"/>
      <c r="K170" s="180"/>
      <c r="L170" s="547"/>
      <c r="M170" s="180"/>
      <c r="Z170" s="180"/>
      <c r="AA170" s="180"/>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c r="CH170" s="180"/>
      <c r="CI170" s="180"/>
      <c r="CJ170" s="180"/>
      <c r="CK170" s="180"/>
      <c r="CL170" s="180"/>
      <c r="CM170" s="180"/>
      <c r="CN170" s="180"/>
      <c r="CO170" s="180"/>
      <c r="CP170" s="180"/>
      <c r="CQ170" s="180"/>
      <c r="CR170" s="180"/>
      <c r="CS170" s="180"/>
      <c r="CT170" s="180"/>
      <c r="CU170" s="180"/>
      <c r="CV170" s="180"/>
      <c r="CW170" s="180"/>
      <c r="CX170" s="180"/>
      <c r="CY170" s="180"/>
      <c r="CZ170" s="180"/>
      <c r="DA170" s="180"/>
      <c r="DB170" s="180"/>
      <c r="DC170" s="180"/>
      <c r="DD170" s="180"/>
      <c r="DE170" s="180"/>
      <c r="DF170" s="180"/>
      <c r="DG170" s="180"/>
      <c r="DH170" s="180"/>
      <c r="DI170" s="180"/>
      <c r="DJ170" s="180"/>
      <c r="DK170" s="180"/>
      <c r="DL170" s="180"/>
      <c r="DM170" s="180"/>
      <c r="DN170" s="180"/>
      <c r="DO170" s="180"/>
      <c r="DP170" s="180"/>
      <c r="DQ170" s="180"/>
      <c r="DR170" s="180"/>
      <c r="DS170" s="180"/>
    </row>
    <row r="171" spans="1:123" ht="71.25" customHeight="1" x14ac:dyDescent="0.3">
      <c r="A171" s="773">
        <v>1063</v>
      </c>
      <c r="B171" s="373" t="s">
        <v>1447</v>
      </c>
      <c r="C171" s="409"/>
      <c r="D171" s="774" t="s">
        <v>1886</v>
      </c>
      <c r="E171" s="371" t="e">
        <f>INDEX('PY1 Data(H)'!$A$1:$CZ$265,MATCH('Unit Data from Audit Worksheet'!$A171,'PY1 Data(H)'!$A$1:$A$258,0),MATCH('Unit Data from Audit Worksheet'!$D$2,'PY1 Data(H)'!$A$1:$CZ$1,0))</f>
        <v>#N/A</v>
      </c>
      <c r="F171" s="184"/>
      <c r="G171" s="401"/>
      <c r="H171" s="17"/>
      <c r="I171" s="17"/>
      <c r="J171" s="72"/>
      <c r="K171" s="180"/>
      <c r="L171" s="547"/>
      <c r="M171" s="180"/>
      <c r="Z171" s="180"/>
      <c r="AA171" s="180"/>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c r="CH171" s="180"/>
      <c r="CI171" s="180"/>
      <c r="CJ171" s="180"/>
      <c r="CK171" s="180"/>
      <c r="CL171" s="180"/>
      <c r="CM171" s="180"/>
      <c r="CN171" s="180"/>
      <c r="CO171" s="180"/>
      <c r="CP171" s="180"/>
      <c r="CQ171" s="180"/>
      <c r="CR171" s="180"/>
      <c r="CS171" s="180"/>
      <c r="CT171" s="180"/>
      <c r="CU171" s="180"/>
      <c r="CV171" s="180"/>
      <c r="CW171" s="180"/>
      <c r="CX171" s="180"/>
      <c r="CY171" s="180"/>
      <c r="CZ171" s="180"/>
      <c r="DA171" s="180"/>
      <c r="DB171" s="180"/>
      <c r="DC171" s="180"/>
      <c r="DD171" s="180"/>
      <c r="DE171" s="180"/>
      <c r="DF171" s="180"/>
      <c r="DG171" s="180"/>
      <c r="DH171" s="180"/>
      <c r="DI171" s="180"/>
      <c r="DJ171" s="180"/>
      <c r="DK171" s="180"/>
      <c r="DL171" s="180"/>
      <c r="DM171" s="180"/>
      <c r="DN171" s="180"/>
      <c r="DO171" s="180"/>
      <c r="DP171" s="180"/>
      <c r="DQ171" s="180"/>
      <c r="DR171" s="180"/>
      <c r="DS171" s="180"/>
    </row>
    <row r="172" spans="1:123" x14ac:dyDescent="0.3">
      <c r="A172" s="100"/>
      <c r="B172" s="704" t="s">
        <v>70</v>
      </c>
      <c r="C172" s="499"/>
      <c r="D172" s="467"/>
      <c r="E172" s="497"/>
      <c r="F172" s="497"/>
      <c r="G172" s="484"/>
      <c r="H172" s="17"/>
      <c r="I172" s="17"/>
      <c r="J172" s="72"/>
      <c r="K172"/>
      <c r="L172" s="547"/>
    </row>
    <row r="173" spans="1:123" ht="90.6" customHeight="1" x14ac:dyDescent="0.3">
      <c r="A173" s="100">
        <v>512</v>
      </c>
      <c r="B173" s="277"/>
      <c r="C173" s="462" t="s">
        <v>157</v>
      </c>
      <c r="D173" s="21" t="s">
        <v>743</v>
      </c>
      <c r="E173" s="371" t="e">
        <f>INDEX('PY1 Data(H)'!$A$1:$CZ$265,MATCH('Unit Data from Audit Worksheet'!$A173,'PY1 Data(H)'!$A$1:$A$258,0),MATCH('Unit Data from Audit Worksheet'!$D$2,'PY1 Data(H)'!$A$1:$CZ$1,0))</f>
        <v>#N/A</v>
      </c>
      <c r="F173" s="793">
        <v>0</v>
      </c>
      <c r="G173" s="401">
        <f>IF(F173&lt;0,"Error: Enter as positive.",)</f>
        <v>0</v>
      </c>
      <c r="H173" s="17"/>
      <c r="I173" s="17"/>
      <c r="J173" s="72"/>
      <c r="K173"/>
      <c r="L173" s="547"/>
    </row>
    <row r="174" spans="1:123" x14ac:dyDescent="0.3">
      <c r="A174" s="100"/>
      <c r="B174" s="489" t="s">
        <v>414</v>
      </c>
      <c r="C174" s="499"/>
      <c r="D174" s="492"/>
      <c r="E174" s="497"/>
      <c r="F174" s="497"/>
      <c r="G174" s="484"/>
      <c r="H174" s="402"/>
      <c r="I174" s="402"/>
      <c r="J174" s="403"/>
      <c r="K174"/>
      <c r="L174" s="547"/>
    </row>
    <row r="175" spans="1:123" ht="59.25" customHeight="1" x14ac:dyDescent="0.3">
      <c r="A175" s="189">
        <v>656</v>
      </c>
      <c r="B175" s="189"/>
      <c r="C175" s="189"/>
      <c r="D175" s="740" t="s">
        <v>1543</v>
      </c>
      <c r="E175" s="371" t="e">
        <f>INDEX('PY1 Data(H)'!$A$1:$CZ$265,MATCH('Unit Data from Audit Worksheet'!$A175,'PY1 Data(H)'!$A$1:$A$258,0),MATCH('Unit Data from Audit Worksheet'!$D$2,'PY1 Data(H)'!$A$1:$CZ$1,0))</f>
        <v>#N/A</v>
      </c>
      <c r="F175" s="793"/>
      <c r="G175" s="401"/>
      <c r="H175" s="17"/>
      <c r="I175" s="17"/>
      <c r="J175" s="72"/>
      <c r="K175"/>
      <c r="L175" s="547"/>
    </row>
    <row r="176" spans="1:123" x14ac:dyDescent="0.3">
      <c r="A176" s="100"/>
      <c r="B176" s="489" t="s">
        <v>286</v>
      </c>
      <c r="C176" s="499"/>
      <c r="D176" s="492"/>
      <c r="E176" s="497"/>
      <c r="F176" s="497"/>
      <c r="G176" s="484"/>
      <c r="H176" s="402"/>
      <c r="I176" s="402"/>
      <c r="J176" s="403"/>
      <c r="K176"/>
      <c r="L176" s="547"/>
    </row>
    <row r="177" spans="1:12" ht="106.95" customHeight="1" x14ac:dyDescent="0.3">
      <c r="A177" s="100">
        <v>535</v>
      </c>
      <c r="B177" s="373" t="s">
        <v>54</v>
      </c>
      <c r="C177" s="373" t="s">
        <v>158</v>
      </c>
      <c r="D177" s="21" t="s">
        <v>744</v>
      </c>
      <c r="E177" s="371" t="e">
        <f>INDEX('PY1 Data(H)'!$A$1:$CZ$265,MATCH('Unit Data from Audit Worksheet'!$A177,'PY1 Data(H)'!$A$1:$A$258,0),MATCH('Unit Data from Audit Worksheet'!$D$2,'PY1 Data(H)'!$A$1:$CZ$1,0))</f>
        <v>#N/A</v>
      </c>
      <c r="F177" s="793">
        <v>0</v>
      </c>
      <c r="G177" s="752" t="str">
        <f>IF(F177&lt;1,"Reminder: Please make sure you have entered all cash and investments from bond/Debt proceeds, if applicable.",)</f>
        <v>Reminder: Please make sure you have entered all cash and investments from bond/Debt proceeds, if applicable.</v>
      </c>
      <c r="H177" s="402"/>
      <c r="I177" s="402"/>
      <c r="J177" s="403"/>
      <c r="K177"/>
      <c r="L177" s="547"/>
    </row>
    <row r="178" spans="1:12" x14ac:dyDescent="0.3">
      <c r="A178" s="100"/>
      <c r="B178" s="489" t="s">
        <v>29</v>
      </c>
      <c r="C178" s="499"/>
      <c r="D178" s="468"/>
      <c r="E178" s="494"/>
      <c r="F178" s="494"/>
      <c r="G178" s="486"/>
      <c r="H178" s="17"/>
      <c r="I178" s="17"/>
      <c r="J178" s="72"/>
      <c r="K178"/>
      <c r="L178" s="547"/>
    </row>
    <row r="179" spans="1:12" x14ac:dyDescent="0.3">
      <c r="A179" s="100"/>
      <c r="B179" s="277"/>
      <c r="C179" s="277"/>
      <c r="D179" s="415" t="s">
        <v>2</v>
      </c>
      <c r="E179" s="371"/>
      <c r="F179" s="154"/>
      <c r="G179" s="407"/>
      <c r="H179" s="17"/>
      <c r="I179" s="17"/>
      <c r="J179" s="72"/>
      <c r="K179"/>
      <c r="L179" s="547"/>
    </row>
    <row r="180" spans="1:12" ht="36" customHeight="1" x14ac:dyDescent="0.3">
      <c r="A180" s="100"/>
      <c r="B180" s="277"/>
      <c r="C180" s="277"/>
      <c r="D180" s="372" t="s">
        <v>745</v>
      </c>
      <c r="E180" s="371"/>
      <c r="F180" s="154"/>
      <c r="G180" s="407"/>
      <c r="H180" s="17"/>
      <c r="I180" s="17"/>
      <c r="J180" s="72"/>
      <c r="K180"/>
      <c r="L180" s="547"/>
    </row>
    <row r="181" spans="1:12" ht="51" customHeight="1" x14ac:dyDescent="0.3">
      <c r="A181" s="100">
        <v>334</v>
      </c>
      <c r="B181" s="4" t="s">
        <v>55</v>
      </c>
      <c r="C181" s="4" t="s">
        <v>165</v>
      </c>
      <c r="D181" s="21" t="s">
        <v>746</v>
      </c>
      <c r="E181" s="371" t="e">
        <f>INDEX('PY1 Data(H)'!$A$1:$CZ$265,MATCH('Unit Data from Audit Worksheet'!$A181,'PY1 Data(H)'!$A$1:$A$258,0),MATCH('Unit Data from Audit Worksheet'!$D$2,'PY1 Data(H)'!$A$1:$CZ$1,0))</f>
        <v>#N/A</v>
      </c>
      <c r="F181" s="793">
        <v>0</v>
      </c>
      <c r="G181" s="407"/>
      <c r="H181" s="17"/>
      <c r="I181" s="17"/>
      <c r="J181" s="72"/>
      <c r="K181"/>
      <c r="L181" s="547"/>
    </row>
    <row r="182" spans="1:12" ht="45.6" customHeight="1" x14ac:dyDescent="0.3">
      <c r="A182" s="100">
        <v>373</v>
      </c>
      <c r="B182" s="4" t="s">
        <v>55</v>
      </c>
      <c r="C182" s="4" t="s">
        <v>165</v>
      </c>
      <c r="D182" s="26" t="s">
        <v>164</v>
      </c>
      <c r="E182" s="371" t="e">
        <f>INDEX('PY1 Data(H)'!$A$1:$CZ$265,MATCH('Unit Data from Audit Worksheet'!$A182,'PY1 Data(H)'!$A$1:$A$258,0),MATCH('Unit Data from Audit Worksheet'!$D$2,'PY1 Data(H)'!$A$1:$CZ$1,0))</f>
        <v>#N/A</v>
      </c>
      <c r="F182" s="793">
        <v>0</v>
      </c>
      <c r="G182" s="401">
        <f>IF(F182&lt;0,"Error: Enter as positive.",)</f>
        <v>0</v>
      </c>
      <c r="H182" s="17"/>
      <c r="I182" s="17"/>
      <c r="J182" s="72"/>
      <c r="K182"/>
      <c r="L182" s="547"/>
    </row>
    <row r="183" spans="1:12" ht="92.25" customHeight="1" x14ac:dyDescent="0.3">
      <c r="A183" s="100">
        <v>987</v>
      </c>
      <c r="B183" s="373" t="s">
        <v>1942</v>
      </c>
      <c r="C183" s="373"/>
      <c r="D183" s="21" t="s">
        <v>634</v>
      </c>
      <c r="E183" s="371" t="e">
        <f>INDEX('PY1 Data(H)'!$A$1:$CZ$265,MATCH('Unit Data from Audit Worksheet'!$A183,'PY1 Data(H)'!$A$1:$A$258,0),MATCH('Unit Data from Audit Worksheet'!$D$2,'PY1 Data(H)'!$A$1:$CZ$1,0))</f>
        <v>#N/A</v>
      </c>
      <c r="F183" s="793">
        <v>0</v>
      </c>
      <c r="G183" s="416" t="str">
        <f>IF(F183="","If this question is not applicable please place a zero in the cell to the left","")</f>
        <v/>
      </c>
      <c r="H183" s="384"/>
      <c r="I183" s="17"/>
      <c r="J183" s="72"/>
      <c r="K183"/>
      <c r="L183" s="547"/>
    </row>
    <row r="184" spans="1:12" ht="66.75" customHeight="1" x14ac:dyDescent="0.3">
      <c r="A184" s="100">
        <v>988</v>
      </c>
      <c r="B184" s="373" t="s">
        <v>1942</v>
      </c>
      <c r="C184" s="373"/>
      <c r="D184" s="21" t="s">
        <v>633</v>
      </c>
      <c r="E184" s="371" t="e">
        <f>INDEX('PY1 Data(H)'!$A$1:$CZ$265,MATCH('Unit Data from Audit Worksheet'!$A184,'PY1 Data(H)'!$A$1:$A$258,0),MATCH('Unit Data from Audit Worksheet'!$D$2,'PY1 Data(H)'!$A$1:$CZ$1,0))</f>
        <v>#N/A</v>
      </c>
      <c r="F184" s="185"/>
      <c r="G184" s="401"/>
      <c r="H184" s="17"/>
      <c r="I184" s="17"/>
      <c r="J184" s="72"/>
      <c r="K184"/>
      <c r="L184" s="547"/>
    </row>
    <row r="185" spans="1:12" ht="90" customHeight="1" x14ac:dyDescent="0.3">
      <c r="A185" s="100">
        <v>989</v>
      </c>
      <c r="B185" s="373" t="s">
        <v>1942</v>
      </c>
      <c r="C185" s="373"/>
      <c r="D185" s="21" t="s">
        <v>790</v>
      </c>
      <c r="E185" s="371" t="e">
        <f>INDEX('PY1 Data(H)'!$A$1:$CZ$265,MATCH('Unit Data from Audit Worksheet'!$A185,'PY1 Data(H)'!$A$1:$A$258,0),MATCH('Unit Data from Audit Worksheet'!$D$2,'PY1 Data(H)'!$A$1:$CZ$1,0))</f>
        <v>#N/A</v>
      </c>
      <c r="F185" s="185"/>
      <c r="G185" s="401"/>
      <c r="H185" s="17"/>
      <c r="I185" s="17"/>
      <c r="J185" s="72"/>
      <c r="K185"/>
      <c r="L185" s="547"/>
    </row>
    <row r="186" spans="1:12" ht="72" x14ac:dyDescent="0.3">
      <c r="A186" s="100"/>
      <c r="B186" s="499"/>
      <c r="C186" s="499"/>
      <c r="D186" s="500" t="s">
        <v>1562</v>
      </c>
      <c r="E186" s="502"/>
      <c r="F186" s="502"/>
      <c r="G186" s="503"/>
      <c r="H186" s="17"/>
      <c r="I186" s="17"/>
      <c r="J186" s="72"/>
      <c r="K186"/>
      <c r="L186" s="547"/>
    </row>
    <row r="187" spans="1:12" ht="23.4" customHeight="1" x14ac:dyDescent="0.3">
      <c r="A187" s="100"/>
      <c r="B187" s="277"/>
      <c r="C187" s="277"/>
      <c r="D187" s="417" t="s">
        <v>1950</v>
      </c>
      <c r="E187" s="371"/>
      <c r="F187" s="243"/>
      <c r="G187" s="407"/>
      <c r="H187" s="17"/>
      <c r="I187" s="17"/>
      <c r="J187" s="72"/>
      <c r="K187"/>
      <c r="L187" s="547"/>
    </row>
    <row r="188" spans="1:12" ht="48.75" customHeight="1" x14ac:dyDescent="0.3">
      <c r="A188" s="100"/>
      <c r="B188" s="277"/>
      <c r="C188" s="277"/>
      <c r="D188" s="21" t="s">
        <v>747</v>
      </c>
      <c r="E188" s="371"/>
      <c r="F188" s="243"/>
      <c r="G188" s="407"/>
      <c r="H188" s="17"/>
      <c r="I188" s="17"/>
      <c r="J188" s="72"/>
      <c r="K188"/>
      <c r="L188" s="547"/>
    </row>
    <row r="189" spans="1:12" ht="51.75" customHeight="1" x14ac:dyDescent="0.3">
      <c r="A189" s="100">
        <v>327</v>
      </c>
      <c r="B189" s="373" t="s">
        <v>36</v>
      </c>
      <c r="C189" s="373" t="s">
        <v>166</v>
      </c>
      <c r="D189" s="418" t="s">
        <v>748</v>
      </c>
      <c r="E189" s="371" t="e">
        <f>INDEX('PY1 Data(H)'!$A$1:$CZ$265,MATCH('Unit Data from Audit Worksheet'!$A189,'PY1 Data(H)'!$A$1:$A$258,0),MATCH('Unit Data from Audit Worksheet'!$D$2,'PY1 Data(H)'!$A$1:$CZ$1,0))</f>
        <v>#N/A</v>
      </c>
      <c r="F189" s="793">
        <v>0</v>
      </c>
      <c r="G189" s="407"/>
      <c r="H189" s="17"/>
      <c r="I189" s="402"/>
      <c r="J189" s="403"/>
      <c r="K189"/>
      <c r="L189" s="547"/>
    </row>
    <row r="190" spans="1:12" ht="51.75" customHeight="1" x14ac:dyDescent="0.3">
      <c r="A190" s="100">
        <v>328</v>
      </c>
      <c r="B190" s="373" t="s">
        <v>36</v>
      </c>
      <c r="C190" s="373" t="s">
        <v>166</v>
      </c>
      <c r="D190" s="27" t="s">
        <v>7</v>
      </c>
      <c r="E190" s="371" t="e">
        <f>INDEX('PY1 Data(H)'!$A$1:$CZ$265,MATCH('Unit Data from Audit Worksheet'!$A190,'PY1 Data(H)'!$A$1:$A$258,0),MATCH('Unit Data from Audit Worksheet'!$D$2,'PY1 Data(H)'!$A$1:$CZ$1,0))</f>
        <v>#N/A</v>
      </c>
      <c r="F190" s="793">
        <v>0</v>
      </c>
      <c r="G190" s="407"/>
      <c r="H190" s="17"/>
      <c r="I190" s="402"/>
      <c r="J190" s="403"/>
      <c r="K190"/>
      <c r="L190" s="547"/>
    </row>
    <row r="191" spans="1:12" ht="42" customHeight="1" x14ac:dyDescent="0.3">
      <c r="A191" s="100"/>
      <c r="B191" s="277"/>
      <c r="C191" s="277"/>
      <c r="D191" s="28" t="s">
        <v>749</v>
      </c>
      <c r="E191" s="93" t="e">
        <f>E189+E190</f>
        <v>#N/A</v>
      </c>
      <c r="F191" s="93">
        <f>SUM(F189:F190)</f>
        <v>0</v>
      </c>
      <c r="G191" s="407"/>
      <c r="H191" s="17"/>
      <c r="I191" s="17"/>
      <c r="J191" s="72"/>
      <c r="K191"/>
      <c r="L191" s="547"/>
    </row>
    <row r="192" spans="1:12" ht="28.8" x14ac:dyDescent="0.3">
      <c r="A192" s="100"/>
      <c r="B192" s="277"/>
      <c r="C192" s="277"/>
      <c r="D192" s="21" t="s">
        <v>750</v>
      </c>
      <c r="E192" s="1"/>
      <c r="F192" s="243"/>
      <c r="G192" s="407"/>
      <c r="H192" s="17"/>
      <c r="I192" s="17"/>
      <c r="J192" s="72"/>
      <c r="K192"/>
      <c r="L192" s="547"/>
    </row>
    <row r="193" spans="1:20" ht="24" customHeight="1" x14ac:dyDescent="0.3">
      <c r="A193" s="100"/>
      <c r="B193" s="277"/>
      <c r="C193" s="277"/>
      <c r="D193" s="25" t="s">
        <v>9</v>
      </c>
      <c r="F193" s="419"/>
      <c r="G193" s="407"/>
      <c r="H193" s="17"/>
      <c r="I193" s="17"/>
      <c r="J193" s="72"/>
      <c r="K193"/>
      <c r="L193" s="547"/>
    </row>
    <row r="194" spans="1:20" ht="72" customHeight="1" x14ac:dyDescent="0.3">
      <c r="A194" s="100">
        <v>515</v>
      </c>
      <c r="B194" s="948" t="s">
        <v>1897</v>
      </c>
      <c r="C194" s="373" t="s">
        <v>167</v>
      </c>
      <c r="D194" s="29" t="s">
        <v>3</v>
      </c>
      <c r="E194" s="371" t="e">
        <f>INDEX('PY1 Data(H)'!$A$1:$CZ$265,MATCH('Unit Data from Audit Worksheet'!$A194,'PY1 Data(H)'!$A$1:$A$258,0),MATCH('Unit Data from Audit Worksheet'!$D$2,'PY1 Data(H)'!$A$1:$CZ$1,0))</f>
        <v>#N/A</v>
      </c>
      <c r="F194" s="793">
        <v>0</v>
      </c>
      <c r="G194" s="401"/>
      <c r="H194" s="17"/>
      <c r="I194" s="17"/>
      <c r="J194" s="72"/>
      <c r="K194"/>
      <c r="L194" s="547"/>
    </row>
    <row r="195" spans="1:20" ht="75.599999999999994" customHeight="1" x14ac:dyDescent="0.3">
      <c r="A195" s="100">
        <v>516</v>
      </c>
      <c r="B195" s="948" t="s">
        <v>1897</v>
      </c>
      <c r="C195" s="373" t="s">
        <v>167</v>
      </c>
      <c r="D195" s="29" t="s">
        <v>4</v>
      </c>
      <c r="E195" s="371" t="e">
        <f>INDEX('PY1 Data(H)'!$A$1:$CZ$265,MATCH('Unit Data from Audit Worksheet'!$A195,'PY1 Data(H)'!$A$1:$A$258,0),MATCH('Unit Data from Audit Worksheet'!$D$2,'PY1 Data(H)'!$A$1:$CZ$1,0))</f>
        <v>#N/A</v>
      </c>
      <c r="F195" s="793">
        <v>0</v>
      </c>
      <c r="G195" s="401"/>
      <c r="H195" s="17"/>
      <c r="I195" s="17"/>
      <c r="J195" s="72"/>
      <c r="K195"/>
      <c r="L195" s="547"/>
    </row>
    <row r="196" spans="1:20" ht="73.2" customHeight="1" x14ac:dyDescent="0.3">
      <c r="A196" s="100">
        <v>517</v>
      </c>
      <c r="B196" s="948" t="s">
        <v>1897</v>
      </c>
      <c r="C196" s="373" t="s">
        <v>167</v>
      </c>
      <c r="D196" s="29" t="s">
        <v>5</v>
      </c>
      <c r="E196" s="371" t="e">
        <f>INDEX('PY1 Data(H)'!$A$1:$CZ$265,MATCH('Unit Data from Audit Worksheet'!$A196,'PY1 Data(H)'!$A$1:$A$258,0),MATCH('Unit Data from Audit Worksheet'!$D$2,'PY1 Data(H)'!$A$1:$CZ$1,0))</f>
        <v>#N/A</v>
      </c>
      <c r="F196" s="793">
        <v>0</v>
      </c>
      <c r="G196" s="401"/>
      <c r="H196" s="17"/>
      <c r="I196" s="17"/>
      <c r="J196" s="72"/>
      <c r="K196"/>
      <c r="L196" s="547"/>
    </row>
    <row r="197" spans="1:20" ht="78" customHeight="1" x14ac:dyDescent="0.3">
      <c r="A197" s="100">
        <v>518</v>
      </c>
      <c r="B197" s="948" t="s">
        <v>1897</v>
      </c>
      <c r="C197" s="373" t="s">
        <v>167</v>
      </c>
      <c r="D197" s="29" t="s">
        <v>38</v>
      </c>
      <c r="E197" s="371" t="e">
        <f>INDEX('PY1 Data(H)'!$A$1:$CZ$265,MATCH('Unit Data from Audit Worksheet'!$A197,'PY1 Data(H)'!$A$1:$A$258,0),MATCH('Unit Data from Audit Worksheet'!$D$2,'PY1 Data(H)'!$A$1:$CZ$1,0))</f>
        <v>#N/A</v>
      </c>
      <c r="F197" s="793">
        <v>0</v>
      </c>
      <c r="G197" s="401"/>
      <c r="H197" s="17"/>
      <c r="I197" s="17"/>
      <c r="J197" s="72"/>
      <c r="K197"/>
      <c r="L197" s="547"/>
    </row>
    <row r="198" spans="1:20" ht="51" customHeight="1" x14ac:dyDescent="0.3">
      <c r="A198" s="707"/>
      <c r="B198" s="277"/>
      <c r="C198" s="277"/>
      <c r="D198" s="420" t="s">
        <v>751</v>
      </c>
      <c r="E198" s="93" t="e">
        <f>E194+E195+E196+E197</f>
        <v>#N/A</v>
      </c>
      <c r="F198" s="93">
        <f>SUM(F194:F197)</f>
        <v>0</v>
      </c>
      <c r="G198" s="407"/>
      <c r="H198" s="17"/>
      <c r="I198" s="17"/>
      <c r="J198" s="72"/>
      <c r="K198"/>
      <c r="L198" s="547"/>
    </row>
    <row r="199" spans="1:20" ht="30.75" customHeight="1" x14ac:dyDescent="0.3">
      <c r="A199" s="100"/>
      <c r="B199" s="277"/>
      <c r="C199" s="277"/>
      <c r="D199" s="25" t="s">
        <v>47</v>
      </c>
      <c r="E199" s="1"/>
      <c r="F199" s="243"/>
      <c r="G199" s="407"/>
      <c r="H199" s="17"/>
      <c r="I199" s="17"/>
      <c r="J199" s="72"/>
      <c r="K199"/>
      <c r="L199" s="547"/>
    </row>
    <row r="200" spans="1:20" ht="63" customHeight="1" x14ac:dyDescent="0.3">
      <c r="A200" s="100">
        <v>519</v>
      </c>
      <c r="B200" s="373" t="s">
        <v>36</v>
      </c>
      <c r="C200" s="373" t="s">
        <v>168</v>
      </c>
      <c r="D200" s="29" t="s">
        <v>14</v>
      </c>
      <c r="E200" s="371" t="e">
        <f>INDEX('PY1 Data(H)'!$A$1:$CZ$265,MATCH('Unit Data from Audit Worksheet'!$A200,'PY1 Data(H)'!$A$1:$A$258,0),MATCH('Unit Data from Audit Worksheet'!$D$2,'PY1 Data(H)'!$A$1:$CZ$1,0))</f>
        <v>#N/A</v>
      </c>
      <c r="F200" s="793">
        <v>0</v>
      </c>
      <c r="G200" s="401">
        <f>IF(F200&lt;0,"Error: Enter as positive.",)</f>
        <v>0</v>
      </c>
      <c r="H200" s="17"/>
      <c r="I200" s="17"/>
      <c r="J200" s="72"/>
      <c r="K200"/>
      <c r="L200" s="547"/>
    </row>
    <row r="201" spans="1:20" ht="69.75" customHeight="1" x14ac:dyDescent="0.3">
      <c r="A201" s="100">
        <v>520</v>
      </c>
      <c r="B201" s="373" t="s">
        <v>36</v>
      </c>
      <c r="C201" s="373" t="s">
        <v>168</v>
      </c>
      <c r="D201" s="29" t="s">
        <v>16</v>
      </c>
      <c r="E201" s="371" t="e">
        <f>INDEX('PY1 Data(H)'!$A$1:$CZ$265,MATCH('Unit Data from Audit Worksheet'!$A201,'PY1 Data(H)'!$A$1:$A$258,0),MATCH('Unit Data from Audit Worksheet'!$D$2,'PY1 Data(H)'!$A$1:$CZ$1,0))</f>
        <v>#N/A</v>
      </c>
      <c r="F201" s="793">
        <v>0</v>
      </c>
      <c r="G201" s="401">
        <f>IF(F201&lt;0,"Error: Enter as positive.",)</f>
        <v>0</v>
      </c>
      <c r="H201" s="17"/>
      <c r="I201" s="17"/>
      <c r="J201" s="72"/>
      <c r="K201"/>
      <c r="L201" s="547"/>
    </row>
    <row r="202" spans="1:20" ht="72" customHeight="1" x14ac:dyDescent="0.3">
      <c r="A202" s="100">
        <v>521</v>
      </c>
      <c r="B202" s="373" t="s">
        <v>36</v>
      </c>
      <c r="C202" s="373" t="s">
        <v>168</v>
      </c>
      <c r="D202" s="29" t="s">
        <v>18</v>
      </c>
      <c r="E202" s="371" t="e">
        <f>INDEX('PY1 Data(H)'!$A$1:$CZ$265,MATCH('Unit Data from Audit Worksheet'!$A202,'PY1 Data(H)'!$A$1:$A$258,0),MATCH('Unit Data from Audit Worksheet'!$D$2,'PY1 Data(H)'!$A$1:$CZ$1,0))</f>
        <v>#N/A</v>
      </c>
      <c r="F202" s="793">
        <v>0</v>
      </c>
      <c r="G202" s="401">
        <f>IF(F202&lt;0,"Error: Enter as positive.",)</f>
        <v>0</v>
      </c>
      <c r="H202" s="17"/>
      <c r="I202" s="17"/>
      <c r="J202" s="72"/>
      <c r="K202"/>
      <c r="L202" s="547"/>
    </row>
    <row r="203" spans="1:20" ht="74.25" customHeight="1" x14ac:dyDescent="0.3">
      <c r="A203" s="100">
        <v>522</v>
      </c>
      <c r="B203" s="373" t="s">
        <v>36</v>
      </c>
      <c r="C203" s="373" t="s">
        <v>168</v>
      </c>
      <c r="D203" s="29" t="s">
        <v>39</v>
      </c>
      <c r="E203" s="371" t="e">
        <f>INDEX('PY1 Data(H)'!$A$1:$CZ$265,MATCH('Unit Data from Audit Worksheet'!$A203,'PY1 Data(H)'!$A$1:$A$258,0),MATCH('Unit Data from Audit Worksheet'!$D$2,'PY1 Data(H)'!$A$1:$CZ$1,0))</f>
        <v>#N/A</v>
      </c>
      <c r="F203" s="793">
        <v>0</v>
      </c>
      <c r="G203" s="401">
        <f>IF(F203&lt;0,"Error: Enter as positive.",)</f>
        <v>0</v>
      </c>
      <c r="H203" s="17"/>
      <c r="I203" s="17"/>
      <c r="J203" s="72"/>
      <c r="K203"/>
      <c r="L203" s="547"/>
    </row>
    <row r="204" spans="1:20" ht="31.5" customHeight="1" x14ac:dyDescent="0.3">
      <c r="A204" s="705"/>
      <c r="B204" s="277"/>
      <c r="C204" s="277"/>
      <c r="D204" s="421" t="s">
        <v>33</v>
      </c>
      <c r="E204" s="93" t="e">
        <f>E200+E201+E202+E203</f>
        <v>#N/A</v>
      </c>
      <c r="F204" s="93">
        <f>SUM(F200:F203)</f>
        <v>0</v>
      </c>
      <c r="G204" s="123"/>
      <c r="H204" s="17"/>
      <c r="I204" s="17"/>
      <c r="J204" s="72"/>
      <c r="K204"/>
      <c r="L204" s="547"/>
    </row>
    <row r="205" spans="1:20" ht="26.25" customHeight="1" x14ac:dyDescent="0.3">
      <c r="A205" s="705"/>
      <c r="B205" s="277"/>
      <c r="C205" s="277"/>
      <c r="D205" s="25" t="s">
        <v>31</v>
      </c>
      <c r="E205" s="6"/>
      <c r="F205" s="422"/>
      <c r="G205" s="123"/>
      <c r="H205" s="17"/>
      <c r="I205" s="524"/>
      <c r="J205"/>
      <c r="K205"/>
      <c r="L205"/>
      <c r="N205"/>
      <c r="O205"/>
      <c r="P205"/>
      <c r="Q205"/>
      <c r="R205"/>
      <c r="S205"/>
      <c r="T205"/>
    </row>
    <row r="206" spans="1:20" ht="89.25" customHeight="1" x14ac:dyDescent="0.3">
      <c r="A206" s="100">
        <v>523</v>
      </c>
      <c r="B206" s="948" t="s">
        <v>1897</v>
      </c>
      <c r="C206" s="373" t="s">
        <v>169</v>
      </c>
      <c r="D206" s="29" t="s">
        <v>15</v>
      </c>
      <c r="E206" s="371" t="e">
        <f>INDEX('PY1 Data(H)'!$A$1:$CZ$265,MATCH('Unit Data from Audit Worksheet'!$A206,'PY1 Data(H)'!$A$1:$A$258,0),MATCH('Unit Data from Audit Worksheet'!$D$2,'PY1 Data(H)'!$A$1:$CZ$1,0))</f>
        <v>#N/A</v>
      </c>
      <c r="F206" s="793">
        <v>0</v>
      </c>
      <c r="G206" s="401">
        <f>IF(F206&lt;0,"Error: Enter as positive.",)</f>
        <v>0</v>
      </c>
      <c r="H206" s="17"/>
      <c r="I206" s="524"/>
      <c r="J206"/>
      <c r="K206"/>
      <c r="L206"/>
      <c r="N206"/>
      <c r="O206"/>
      <c r="P206"/>
      <c r="Q206"/>
      <c r="R206"/>
      <c r="S206"/>
      <c r="T206"/>
    </row>
    <row r="207" spans="1:20" ht="75" customHeight="1" x14ac:dyDescent="0.3">
      <c r="A207" s="100">
        <v>524</v>
      </c>
      <c r="B207" s="948" t="s">
        <v>1897</v>
      </c>
      <c r="C207" s="373" t="s">
        <v>169</v>
      </c>
      <c r="D207" s="29" t="s">
        <v>17</v>
      </c>
      <c r="E207" s="371" t="e">
        <f>INDEX('PY1 Data(H)'!$A$1:$CZ$265,MATCH('Unit Data from Audit Worksheet'!$A207,'PY1 Data(H)'!$A$1:$A$258,0),MATCH('Unit Data from Audit Worksheet'!$D$2,'PY1 Data(H)'!$A$1:$CZ$1,0))</f>
        <v>#N/A</v>
      </c>
      <c r="F207" s="793">
        <v>0</v>
      </c>
      <c r="G207" s="401">
        <f>IF(F207&lt;0,"Error: Enter as positive.",)</f>
        <v>0</v>
      </c>
      <c r="H207" s="17"/>
      <c r="I207" s="524"/>
      <c r="J207"/>
      <c r="K207"/>
      <c r="L207"/>
      <c r="N207"/>
      <c r="O207"/>
      <c r="P207"/>
      <c r="Q207"/>
      <c r="R207"/>
      <c r="S207"/>
      <c r="T207"/>
    </row>
    <row r="208" spans="1:20" ht="75" customHeight="1" x14ac:dyDescent="0.3">
      <c r="A208" s="100">
        <v>525</v>
      </c>
      <c r="B208" s="948" t="s">
        <v>1897</v>
      </c>
      <c r="C208" s="373" t="s">
        <v>169</v>
      </c>
      <c r="D208" s="29" t="s">
        <v>19</v>
      </c>
      <c r="E208" s="371" t="e">
        <f>INDEX('PY1 Data(H)'!$A$1:$CZ$265,MATCH('Unit Data from Audit Worksheet'!$A208,'PY1 Data(H)'!$A$1:$A$258,0),MATCH('Unit Data from Audit Worksheet'!$D$2,'PY1 Data(H)'!$A$1:$CZ$1,0))</f>
        <v>#N/A</v>
      </c>
      <c r="F208" s="793">
        <v>0</v>
      </c>
      <c r="G208" s="401">
        <f>IF(F208&lt;0,"Error: Enter as positive.",)</f>
        <v>0</v>
      </c>
      <c r="H208" s="17"/>
      <c r="I208" s="524"/>
      <c r="J208"/>
      <c r="K208"/>
      <c r="L208"/>
      <c r="N208"/>
      <c r="O208"/>
      <c r="P208"/>
      <c r="Q208"/>
      <c r="R208"/>
      <c r="S208"/>
      <c r="T208"/>
    </row>
    <row r="209" spans="1:1881" ht="76.5" customHeight="1" x14ac:dyDescent="0.3">
      <c r="A209" s="100">
        <v>526</v>
      </c>
      <c r="B209" s="948" t="s">
        <v>1897</v>
      </c>
      <c r="C209" s="373" t="s">
        <v>169</v>
      </c>
      <c r="D209" s="29" t="s">
        <v>40</v>
      </c>
      <c r="E209" s="371" t="e">
        <f>INDEX('PY1 Data(H)'!$A$1:$CZ$265,MATCH('Unit Data from Audit Worksheet'!$A209,'PY1 Data(H)'!$A$1:$A$258,0),MATCH('Unit Data from Audit Worksheet'!$D$2,'PY1 Data(H)'!$A$1:$CZ$1,0))</f>
        <v>#N/A</v>
      </c>
      <c r="F209" s="793">
        <v>0</v>
      </c>
      <c r="G209" s="401">
        <f>IF(F209&lt;0,"Error: Enter as positive.",)</f>
        <v>0</v>
      </c>
      <c r="H209" s="17"/>
      <c r="I209" s="524"/>
      <c r="J209"/>
      <c r="K209"/>
      <c r="L209"/>
      <c r="N209"/>
      <c r="O209"/>
      <c r="P209"/>
      <c r="Q209"/>
      <c r="R209"/>
      <c r="S209"/>
      <c r="T209"/>
    </row>
    <row r="210" spans="1:1881" ht="24.75" customHeight="1" x14ac:dyDescent="0.3">
      <c r="A210" s="100"/>
      <c r="B210" s="463"/>
      <c r="C210" s="463"/>
      <c r="D210" s="421" t="s">
        <v>32</v>
      </c>
      <c r="E210" s="93" t="e">
        <f>E206+E207+E208+E209</f>
        <v>#N/A</v>
      </c>
      <c r="F210" s="93">
        <f>SUM(F206:F209)</f>
        <v>0</v>
      </c>
      <c r="G210" s="407"/>
      <c r="H210" s="17"/>
      <c r="I210" s="17"/>
      <c r="J210" s="72"/>
      <c r="K210"/>
      <c r="L210" s="547"/>
    </row>
    <row r="211" spans="1:1881" ht="61.5" customHeight="1" x14ac:dyDescent="0.3">
      <c r="A211" s="100"/>
      <c r="B211" s="463"/>
      <c r="C211" s="463"/>
      <c r="D211" s="423" t="s">
        <v>34</v>
      </c>
      <c r="E211" s="93" t="e">
        <f>E191+E198-E210</f>
        <v>#N/A</v>
      </c>
      <c r="F211" s="93">
        <f>F191+F198-F210</f>
        <v>0</v>
      </c>
      <c r="G211" s="407"/>
      <c r="H211" s="17"/>
      <c r="I211" s="17"/>
      <c r="J211" s="72"/>
      <c r="K211"/>
      <c r="L211" s="547"/>
    </row>
    <row r="212" spans="1:1881" ht="21.6" customHeight="1" x14ac:dyDescent="0.3">
      <c r="A212" s="100"/>
      <c r="B212" s="277"/>
      <c r="C212" s="277"/>
      <c r="D212" s="415"/>
      <c r="E212" s="1"/>
      <c r="F212" s="243"/>
      <c r="G212" s="407"/>
      <c r="H212" s="17"/>
      <c r="I212" s="17"/>
      <c r="J212" s="72"/>
      <c r="K212"/>
      <c r="L212" s="547"/>
    </row>
    <row r="213" spans="1:1881" ht="34.5" customHeight="1" x14ac:dyDescent="0.3">
      <c r="A213" s="100"/>
      <c r="B213" s="499"/>
      <c r="C213" s="499"/>
      <c r="D213" s="491" t="s">
        <v>8</v>
      </c>
      <c r="E213" s="501"/>
      <c r="F213" s="502"/>
      <c r="G213" s="503"/>
      <c r="H213" s="17"/>
      <c r="I213" s="17"/>
      <c r="J213" s="72"/>
      <c r="K213"/>
      <c r="L213" s="547"/>
    </row>
    <row r="214" spans="1:1881" ht="55.5" customHeight="1" x14ac:dyDescent="0.3">
      <c r="A214" s="100">
        <v>527</v>
      </c>
      <c r="B214" s="948" t="s">
        <v>1903</v>
      </c>
      <c r="C214" s="373" t="s">
        <v>170</v>
      </c>
      <c r="D214" s="26" t="s">
        <v>752</v>
      </c>
      <c r="E214" s="371" t="e">
        <f>INDEX('PY1 Data(H)'!$A$1:$CZ$265,MATCH('Unit Data from Audit Worksheet'!$A214,'PY1 Data(H)'!$A$1:$A$258,0),MATCH('Unit Data from Audit Worksheet'!$D$2,'PY1 Data(H)'!$A$1:$CZ$1,0))</f>
        <v>#N/A</v>
      </c>
      <c r="F214" s="793">
        <v>0</v>
      </c>
      <c r="G214" s="407"/>
      <c r="H214" s="17"/>
      <c r="I214" s="402"/>
      <c r="J214" s="403"/>
      <c r="K214"/>
      <c r="L214" s="547"/>
    </row>
    <row r="215" spans="1:1881" ht="55.5" customHeight="1" x14ac:dyDescent="0.3">
      <c r="A215" s="100">
        <v>356</v>
      </c>
      <c r="B215" s="948" t="s">
        <v>1902</v>
      </c>
      <c r="C215" s="373" t="s">
        <v>170</v>
      </c>
      <c r="D215" s="99" t="s">
        <v>20</v>
      </c>
      <c r="E215" s="371" t="e">
        <f>INDEX('PY1 Data(H)'!$A$1:$CZ$265,MATCH('Unit Data from Audit Worksheet'!$A215,'PY1 Data(H)'!$A$1:$A$258,0),MATCH('Unit Data from Audit Worksheet'!$D$2,'PY1 Data(H)'!$A$1:$CZ$1,0))</f>
        <v>#N/A</v>
      </c>
      <c r="F215" s="793">
        <v>0</v>
      </c>
      <c r="G215" s="407"/>
      <c r="H215" s="17"/>
      <c r="I215" s="402"/>
      <c r="J215" s="403"/>
      <c r="K215"/>
      <c r="L215" s="547"/>
    </row>
    <row r="216" spans="1:1881" ht="55.5" customHeight="1" x14ac:dyDescent="0.3">
      <c r="A216" s="100">
        <v>357</v>
      </c>
      <c r="B216" s="373" t="s">
        <v>55</v>
      </c>
      <c r="C216" s="373" t="s">
        <v>171</v>
      </c>
      <c r="D216" s="99" t="s">
        <v>21</v>
      </c>
      <c r="E216" s="371" t="e">
        <f>INDEX('PY1 Data(H)'!$A$1:$CZ$265,MATCH('Unit Data from Audit Worksheet'!$A216,'PY1 Data(H)'!$A$1:$A$258,0),MATCH('Unit Data from Audit Worksheet'!$D$2,'PY1 Data(H)'!$A$1:$CZ$1,0))</f>
        <v>#N/A</v>
      </c>
      <c r="F216" s="793">
        <v>0</v>
      </c>
      <c r="G216" s="401">
        <f>IF(F216&lt;0,"Error: Enter as positive.",)</f>
        <v>0</v>
      </c>
      <c r="H216" s="17"/>
      <c r="I216" s="402"/>
      <c r="J216" s="403"/>
      <c r="K216"/>
      <c r="L216" s="547"/>
    </row>
    <row r="217" spans="1:1881" s="18" customFormat="1" ht="35.25" customHeight="1" x14ac:dyDescent="0.3">
      <c r="A217" s="100"/>
      <c r="B217" s="489" t="s">
        <v>10</v>
      </c>
      <c r="C217" s="499"/>
      <c r="D217" s="467"/>
      <c r="E217" s="504"/>
      <c r="F217" s="504"/>
      <c r="G217" s="486"/>
      <c r="H217" s="17"/>
      <c r="I217" s="17"/>
      <c r="J217" s="72"/>
      <c r="K217"/>
      <c r="L217" s="547"/>
      <c r="M217"/>
      <c r="O217" s="186"/>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row>
    <row r="218" spans="1:1881" s="18" customFormat="1" ht="253.2" customHeight="1" x14ac:dyDescent="0.3">
      <c r="A218" s="100">
        <v>337</v>
      </c>
      <c r="B218" s="4" t="s">
        <v>55</v>
      </c>
      <c r="C218" s="4" t="s">
        <v>753</v>
      </c>
      <c r="D218" s="21" t="s">
        <v>635</v>
      </c>
      <c r="E218" s="371" t="e">
        <f>INDEX('PY1 Data(H)'!$A$1:$CZ$265,MATCH('Unit Data from Audit Worksheet'!$A218,'PY1 Data(H)'!$A$1:$A$258,0),MATCH('Unit Data from Audit Worksheet'!$D$2,'PY1 Data(H)'!$A$1:$CZ$1,0))</f>
        <v>#N/A</v>
      </c>
      <c r="F218" s="793">
        <v>0</v>
      </c>
      <c r="G218" s="401">
        <f>IF(F218&lt;0,"Error: Enter as positive.",)</f>
        <v>0</v>
      </c>
      <c r="H218" s="17"/>
      <c r="I218" s="17"/>
      <c r="J218" s="72"/>
      <c r="K218"/>
      <c r="L218" s="547"/>
      <c r="M218"/>
      <c r="O218" s="186"/>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row>
    <row r="219" spans="1:1881" s="18" customFormat="1" ht="81.75" customHeight="1" x14ac:dyDescent="0.3">
      <c r="A219" s="100">
        <v>343</v>
      </c>
      <c r="B219" s="4" t="s">
        <v>55</v>
      </c>
      <c r="C219" s="4" t="s">
        <v>337</v>
      </c>
      <c r="D219" s="26" t="s">
        <v>754</v>
      </c>
      <c r="E219" s="371" t="e">
        <f>INDEX('PY1 Data(H)'!$A$1:$CZ$265,MATCH('Unit Data from Audit Worksheet'!$A219,'PY1 Data(H)'!$A$1:$A$258,0),MATCH('Unit Data from Audit Worksheet'!$D$2,'PY1 Data(H)'!$A$1:$CZ$1,0))</f>
        <v>#N/A</v>
      </c>
      <c r="F219" s="793">
        <v>0</v>
      </c>
      <c r="G219" s="401">
        <f>IF(F219&lt;0,"Error: Enter as positive.",)</f>
        <v>0</v>
      </c>
      <c r="H219" s="17"/>
      <c r="I219" s="17"/>
      <c r="J219" s="72"/>
      <c r="K219"/>
      <c r="L219" s="547"/>
      <c r="M219"/>
      <c r="N219" s="91"/>
      <c r="O219" s="186"/>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row>
    <row r="220" spans="1:1881" ht="274.5" customHeight="1" x14ac:dyDescent="0.3">
      <c r="A220" s="100">
        <v>82</v>
      </c>
      <c r="B220" s="4" t="s">
        <v>60</v>
      </c>
      <c r="C220" s="4" t="s">
        <v>755</v>
      </c>
      <c r="D220" s="21" t="s">
        <v>451</v>
      </c>
      <c r="E220" s="371" t="e">
        <f>INDEX('PY1 Data(H)'!$A$1:$CZ$265,MATCH('Unit Data from Audit Worksheet'!$A220,'PY1 Data(H)'!$A$1:$A$258,0),MATCH('Unit Data from Audit Worksheet'!$D$2,'PY1 Data(H)'!$A$1:$CZ$1,0))</f>
        <v>#N/A</v>
      </c>
      <c r="F220" s="802">
        <v>0</v>
      </c>
      <c r="G220" s="401">
        <f>IF(F220&lt;0,"Error: Enter as positive.",)</f>
        <v>0</v>
      </c>
      <c r="H220" s="17"/>
      <c r="I220" s="17"/>
      <c r="J220" s="424"/>
      <c r="K220"/>
      <c r="L220" s="547"/>
    </row>
    <row r="221" spans="1:1881" ht="270.75" customHeight="1" x14ac:dyDescent="0.3">
      <c r="A221" s="100">
        <v>359</v>
      </c>
      <c r="B221" s="4" t="s">
        <v>55</v>
      </c>
      <c r="C221" s="4" t="s">
        <v>756</v>
      </c>
      <c r="D221" s="21" t="s">
        <v>451</v>
      </c>
      <c r="E221" s="371" t="e">
        <f>INDEX('PY1 Data(H)'!$A$1:$CZ$265,MATCH('Unit Data from Audit Worksheet'!$A221,'PY1 Data(H)'!$A$1:$A$258,0),MATCH('Unit Data from Audit Worksheet'!$D$2,'PY1 Data(H)'!$A$1:$CZ$1,0))</f>
        <v>#N/A</v>
      </c>
      <c r="F221" s="793">
        <v>0</v>
      </c>
      <c r="G221" s="401">
        <f>IF(F221&lt;0,"Error: Enter as positive.",)</f>
        <v>0</v>
      </c>
      <c r="H221" s="17"/>
      <c r="I221" s="17"/>
      <c r="J221" s="424"/>
      <c r="K221"/>
      <c r="L221" s="547"/>
    </row>
    <row r="222" spans="1:1881" s="426" customFormat="1" ht="33" customHeight="1" x14ac:dyDescent="0.3">
      <c r="A222" s="100"/>
      <c r="B222" s="737" t="s">
        <v>353</v>
      </c>
      <c r="C222" s="710"/>
      <c r="D222" s="89"/>
      <c r="E222" s="425"/>
      <c r="F222" s="413"/>
      <c r="G222" s="400"/>
      <c r="H222" s="17"/>
      <c r="I222" s="17"/>
      <c r="J222" s="424"/>
      <c r="K222"/>
      <c r="L222" s="547"/>
      <c r="M222"/>
      <c r="N222" s="18"/>
      <c r="O222" s="186"/>
      <c r="P222" s="18"/>
      <c r="Q222" s="18"/>
      <c r="R222" s="18"/>
      <c r="S222" s="18"/>
      <c r="T222" s="18"/>
      <c r="U222" s="18"/>
      <c r="V222" s="18"/>
      <c r="W222" s="18"/>
      <c r="X222" s="18"/>
      <c r="Y222" s="18"/>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c r="OE222" s="18"/>
      <c r="OF222" s="18"/>
      <c r="OG222" s="18"/>
      <c r="OH222" s="18"/>
      <c r="OI222" s="18"/>
      <c r="OJ222" s="18"/>
      <c r="OK222" s="18"/>
      <c r="OL222" s="18"/>
      <c r="OM222" s="18"/>
      <c r="ON222" s="18"/>
      <c r="OO222" s="18"/>
      <c r="OP222" s="18"/>
      <c r="OQ222" s="18"/>
      <c r="OR222" s="18"/>
      <c r="OS222" s="18"/>
      <c r="OT222" s="18"/>
      <c r="OU222" s="18"/>
      <c r="OV222" s="18"/>
      <c r="OW222" s="18"/>
      <c r="OX222" s="18"/>
      <c r="OY222" s="18"/>
      <c r="OZ222" s="18"/>
      <c r="PA222" s="18"/>
      <c r="PB222" s="18"/>
      <c r="PC222" s="18"/>
      <c r="PD222" s="18"/>
      <c r="PE222" s="18"/>
      <c r="PF222" s="18"/>
      <c r="PG222" s="18"/>
      <c r="PH222" s="18"/>
      <c r="PI222" s="18"/>
      <c r="PJ222" s="18"/>
      <c r="PK222" s="18"/>
      <c r="PL222" s="18"/>
      <c r="PM222" s="18"/>
      <c r="PN222" s="18"/>
      <c r="PO222" s="18"/>
      <c r="PP222" s="18"/>
      <c r="PQ222" s="18"/>
      <c r="PR222" s="18"/>
      <c r="PS222" s="18"/>
      <c r="PT222" s="18"/>
      <c r="PU222" s="18"/>
      <c r="PV222" s="18"/>
      <c r="PW222" s="18"/>
      <c r="PX222" s="18"/>
      <c r="PY222" s="18"/>
      <c r="PZ222" s="18"/>
      <c r="QA222" s="18"/>
      <c r="QB222" s="18"/>
      <c r="QC222" s="18"/>
      <c r="QD222" s="18"/>
      <c r="QE222" s="18"/>
      <c r="QF222" s="18"/>
      <c r="QG222" s="18"/>
      <c r="QH222" s="18"/>
      <c r="QI222" s="18"/>
      <c r="QJ222" s="18"/>
      <c r="QK222" s="18"/>
      <c r="QL222" s="18"/>
      <c r="QM222" s="18"/>
      <c r="QN222" s="18"/>
      <c r="QO222" s="18"/>
      <c r="QP222" s="18"/>
      <c r="QQ222" s="18"/>
      <c r="QR222" s="18"/>
      <c r="QS222" s="18"/>
      <c r="QT222" s="18"/>
      <c r="QU222" s="18"/>
      <c r="QV222" s="18"/>
      <c r="QW222" s="18"/>
      <c r="QX222" s="18"/>
      <c r="QY222" s="18"/>
      <c r="QZ222" s="18"/>
      <c r="RA222" s="18"/>
      <c r="RB222" s="18"/>
      <c r="RC222" s="18"/>
      <c r="RD222" s="18"/>
      <c r="RE222" s="18"/>
      <c r="RF222" s="18"/>
      <c r="RG222" s="18"/>
      <c r="RH222" s="18"/>
      <c r="RI222" s="18"/>
      <c r="RJ222" s="18"/>
      <c r="RK222" s="18"/>
      <c r="RL222" s="18"/>
      <c r="RM222" s="18"/>
      <c r="RN222" s="18"/>
      <c r="RO222" s="18"/>
      <c r="RP222" s="18"/>
      <c r="RQ222" s="18"/>
      <c r="RR222" s="18"/>
      <c r="RS222" s="18"/>
      <c r="RT222" s="18"/>
      <c r="RU222" s="18"/>
      <c r="RV222" s="18"/>
      <c r="RW222" s="18"/>
      <c r="RX222" s="18"/>
      <c r="RY222" s="18"/>
      <c r="RZ222" s="18"/>
      <c r="SA222" s="18"/>
      <c r="SB222" s="18"/>
      <c r="SC222" s="18"/>
      <c r="SD222" s="18"/>
      <c r="SE222" s="18"/>
      <c r="SF222" s="18"/>
      <c r="SG222" s="18"/>
      <c r="SH222" s="18"/>
      <c r="SI222" s="18"/>
      <c r="SJ222" s="18"/>
      <c r="SK222" s="18"/>
      <c r="SL222" s="18"/>
      <c r="SM222" s="18"/>
      <c r="SN222" s="18"/>
      <c r="SO222" s="18"/>
      <c r="SP222" s="18"/>
      <c r="SQ222" s="18"/>
      <c r="SR222" s="18"/>
      <c r="SS222" s="18"/>
      <c r="ST222" s="18"/>
      <c r="SU222" s="18"/>
      <c r="SV222" s="18"/>
      <c r="SW222" s="18"/>
      <c r="SX222" s="18"/>
      <c r="SY222" s="18"/>
      <c r="SZ222" s="18"/>
      <c r="TA222" s="18"/>
      <c r="TB222" s="18"/>
      <c r="TC222" s="18"/>
      <c r="TD222" s="18"/>
      <c r="TE222" s="18"/>
      <c r="TF222" s="18"/>
      <c r="TG222" s="18"/>
      <c r="TH222" s="18"/>
      <c r="TI222" s="18"/>
      <c r="TJ222" s="18"/>
      <c r="TK222" s="18"/>
      <c r="TL222" s="18"/>
      <c r="TM222" s="18"/>
      <c r="TN222" s="18"/>
      <c r="TO222" s="18"/>
      <c r="TP222" s="18"/>
      <c r="TQ222" s="18"/>
      <c r="TR222" s="18"/>
      <c r="TS222" s="18"/>
      <c r="TT222" s="18"/>
      <c r="TU222" s="18"/>
      <c r="TV222" s="18"/>
      <c r="TW222" s="18"/>
      <c r="TX222" s="18"/>
      <c r="TY222" s="18"/>
      <c r="TZ222" s="18"/>
      <c r="UA222" s="18"/>
      <c r="UB222" s="18"/>
      <c r="UC222" s="18"/>
      <c r="UD222" s="18"/>
      <c r="UE222" s="18"/>
      <c r="UF222" s="18"/>
      <c r="UG222" s="18"/>
      <c r="UH222" s="18"/>
      <c r="UI222" s="18"/>
      <c r="UJ222" s="18"/>
      <c r="UK222" s="18"/>
      <c r="UL222" s="18"/>
      <c r="UM222" s="18"/>
      <c r="UN222" s="18"/>
      <c r="UO222" s="18"/>
      <c r="UP222" s="18"/>
      <c r="UQ222" s="18"/>
      <c r="UR222" s="18"/>
      <c r="US222" s="18"/>
      <c r="UT222" s="18"/>
      <c r="UU222" s="18"/>
      <c r="UV222" s="18"/>
      <c r="UW222" s="18"/>
      <c r="UX222" s="18"/>
      <c r="UY222" s="18"/>
      <c r="UZ222" s="18"/>
      <c r="VA222" s="18"/>
      <c r="VB222" s="18"/>
      <c r="VC222" s="18"/>
      <c r="VD222" s="18"/>
      <c r="VE222" s="18"/>
      <c r="VF222" s="18"/>
      <c r="VG222" s="18"/>
      <c r="VH222" s="18"/>
      <c r="VI222" s="18"/>
      <c r="VJ222" s="18"/>
      <c r="VK222" s="18"/>
      <c r="VL222" s="18"/>
      <c r="VM222" s="18"/>
      <c r="VN222" s="18"/>
      <c r="VO222" s="18"/>
      <c r="VP222" s="18"/>
      <c r="VQ222" s="18"/>
      <c r="VR222" s="18"/>
      <c r="VS222" s="18"/>
      <c r="VT222" s="18"/>
      <c r="VU222" s="18"/>
      <c r="VV222" s="18"/>
      <c r="VW222" s="18"/>
      <c r="VX222" s="18"/>
      <c r="VY222" s="18"/>
      <c r="VZ222" s="18"/>
      <c r="WA222" s="18"/>
      <c r="WB222" s="18"/>
      <c r="WC222" s="18"/>
      <c r="WD222" s="18"/>
      <c r="WE222" s="18"/>
      <c r="WF222" s="18"/>
      <c r="WG222" s="18"/>
      <c r="WH222" s="18"/>
      <c r="WI222" s="18"/>
      <c r="WJ222" s="18"/>
      <c r="WK222" s="18"/>
      <c r="WL222" s="18"/>
      <c r="WM222" s="18"/>
      <c r="WN222" s="18"/>
      <c r="WO222" s="18"/>
      <c r="WP222" s="18"/>
      <c r="WQ222" s="18"/>
      <c r="WR222" s="18"/>
      <c r="WS222" s="18"/>
      <c r="WT222" s="18"/>
      <c r="WU222" s="18"/>
      <c r="WV222" s="18"/>
      <c r="WW222" s="18"/>
      <c r="WX222" s="18"/>
      <c r="WY222" s="18"/>
      <c r="WZ222" s="18"/>
      <c r="XA222" s="18"/>
      <c r="XB222" s="18"/>
      <c r="XC222" s="18"/>
      <c r="XD222" s="18"/>
      <c r="XE222" s="18"/>
      <c r="XF222" s="18"/>
      <c r="XG222" s="18"/>
      <c r="XH222" s="18"/>
      <c r="XI222" s="18"/>
      <c r="XJ222" s="18"/>
      <c r="XK222" s="18"/>
      <c r="XL222" s="18"/>
      <c r="XM222" s="18"/>
      <c r="XN222" s="18"/>
      <c r="XO222" s="18"/>
      <c r="XP222" s="18"/>
      <c r="XQ222" s="18"/>
      <c r="XR222" s="18"/>
      <c r="XS222" s="18"/>
      <c r="XT222" s="18"/>
      <c r="XU222" s="18"/>
      <c r="XV222" s="18"/>
      <c r="XW222" s="18"/>
      <c r="XX222" s="18"/>
      <c r="XY222" s="18"/>
      <c r="XZ222" s="18"/>
      <c r="YA222" s="18"/>
      <c r="YB222" s="18"/>
      <c r="YC222" s="18"/>
      <c r="YD222" s="18"/>
      <c r="YE222" s="18"/>
      <c r="YF222" s="18"/>
      <c r="YG222" s="18"/>
      <c r="YH222" s="18"/>
      <c r="YI222" s="18"/>
      <c r="YJ222" s="18"/>
      <c r="YK222" s="18"/>
      <c r="YL222" s="18"/>
      <c r="YM222" s="18"/>
      <c r="YN222" s="18"/>
      <c r="YO222" s="18"/>
      <c r="YP222" s="18"/>
      <c r="YQ222" s="18"/>
      <c r="YR222" s="18"/>
      <c r="YS222" s="18"/>
      <c r="YT222" s="18"/>
      <c r="YU222" s="18"/>
      <c r="YV222" s="18"/>
      <c r="YW222" s="18"/>
      <c r="YX222" s="18"/>
      <c r="YY222" s="18"/>
      <c r="YZ222" s="18"/>
      <c r="ZA222" s="18"/>
      <c r="ZB222" s="18"/>
      <c r="ZC222" s="18"/>
      <c r="ZD222" s="18"/>
      <c r="ZE222" s="18"/>
      <c r="ZF222" s="18"/>
      <c r="ZG222" s="18"/>
      <c r="ZH222" s="18"/>
      <c r="ZI222" s="18"/>
      <c r="ZJ222" s="18"/>
      <c r="ZK222" s="18"/>
      <c r="ZL222" s="18"/>
      <c r="ZM222" s="18"/>
      <c r="ZN222" s="18"/>
      <c r="ZO222" s="18"/>
      <c r="ZP222" s="18"/>
      <c r="ZQ222" s="18"/>
      <c r="ZR222" s="18"/>
      <c r="ZS222" s="18"/>
      <c r="ZT222" s="18"/>
      <c r="ZU222" s="18"/>
      <c r="ZV222" s="18"/>
      <c r="ZW222" s="18"/>
      <c r="ZX222" s="18"/>
      <c r="ZY222" s="18"/>
      <c r="ZZ222" s="18"/>
      <c r="AAA222" s="18"/>
      <c r="AAB222" s="18"/>
      <c r="AAC222" s="18"/>
      <c r="AAD222" s="18"/>
      <c r="AAE222" s="18"/>
      <c r="AAF222" s="18"/>
      <c r="AAG222" s="18"/>
      <c r="AAH222" s="18"/>
      <c r="AAI222" s="18"/>
      <c r="AAJ222" s="18"/>
      <c r="AAK222" s="18"/>
      <c r="AAL222" s="18"/>
      <c r="AAM222" s="18"/>
      <c r="AAN222" s="18"/>
      <c r="AAO222" s="18"/>
      <c r="AAP222" s="18"/>
      <c r="AAQ222" s="18"/>
      <c r="AAR222" s="18"/>
      <c r="AAS222" s="18"/>
      <c r="AAT222" s="18"/>
      <c r="AAU222" s="18"/>
      <c r="AAV222" s="18"/>
      <c r="AAW222" s="18"/>
      <c r="AAX222" s="18"/>
      <c r="AAY222" s="18"/>
      <c r="AAZ222" s="18"/>
      <c r="ABA222" s="18"/>
      <c r="ABB222" s="18"/>
      <c r="ABC222" s="18"/>
      <c r="ABD222" s="18"/>
      <c r="ABE222" s="18"/>
      <c r="ABF222" s="18"/>
      <c r="ABG222" s="18"/>
      <c r="ABH222" s="18"/>
      <c r="ABI222" s="18"/>
      <c r="ABJ222" s="18"/>
      <c r="ABK222" s="18"/>
      <c r="ABL222" s="18"/>
      <c r="ABM222" s="18"/>
      <c r="ABN222" s="18"/>
      <c r="ABO222" s="18"/>
      <c r="ABP222" s="18"/>
      <c r="ABQ222" s="18"/>
      <c r="ABR222" s="18"/>
      <c r="ABS222" s="18"/>
      <c r="ABT222" s="18"/>
      <c r="ABU222" s="18"/>
      <c r="ABV222" s="18"/>
      <c r="ABW222" s="18"/>
      <c r="ABX222" s="18"/>
      <c r="ABY222" s="18"/>
      <c r="ABZ222" s="18"/>
      <c r="ACA222" s="18"/>
      <c r="ACB222" s="18"/>
      <c r="ACC222" s="18"/>
      <c r="ACD222" s="18"/>
      <c r="ACE222" s="18"/>
      <c r="ACF222" s="18"/>
      <c r="ACG222" s="18"/>
      <c r="ACH222" s="18"/>
      <c r="ACI222" s="18"/>
      <c r="ACJ222" s="18"/>
      <c r="ACK222" s="18"/>
      <c r="ACL222" s="18"/>
      <c r="ACM222" s="18"/>
      <c r="ACN222" s="18"/>
      <c r="ACO222" s="18"/>
      <c r="ACP222" s="18"/>
      <c r="ACQ222" s="18"/>
      <c r="ACR222" s="18"/>
      <c r="ACS222" s="18"/>
      <c r="ACT222" s="18"/>
      <c r="ACU222" s="18"/>
      <c r="ACV222" s="18"/>
      <c r="ACW222" s="18"/>
      <c r="ACX222" s="18"/>
      <c r="ACY222" s="18"/>
      <c r="ACZ222" s="18"/>
      <c r="ADA222" s="18"/>
      <c r="ADB222" s="18"/>
      <c r="ADC222" s="18"/>
      <c r="ADD222" s="18"/>
      <c r="ADE222" s="18"/>
      <c r="ADF222" s="18"/>
      <c r="ADG222" s="18"/>
      <c r="ADH222" s="18"/>
      <c r="ADI222" s="18"/>
      <c r="ADJ222" s="18"/>
      <c r="ADK222" s="18"/>
      <c r="ADL222" s="18"/>
      <c r="ADM222" s="18"/>
      <c r="ADN222" s="18"/>
      <c r="ADO222" s="18"/>
      <c r="ADP222" s="18"/>
      <c r="ADQ222" s="18"/>
      <c r="ADR222" s="18"/>
      <c r="ADS222" s="18"/>
      <c r="ADT222" s="18"/>
      <c r="ADU222" s="18"/>
      <c r="ADV222" s="18"/>
      <c r="ADW222" s="18"/>
      <c r="ADX222" s="18"/>
      <c r="ADY222" s="18"/>
      <c r="ADZ222" s="18"/>
      <c r="AEA222" s="18"/>
      <c r="AEB222" s="18"/>
      <c r="AEC222" s="18"/>
      <c r="AED222" s="18"/>
      <c r="AEE222" s="18"/>
      <c r="AEF222" s="18"/>
      <c r="AEG222" s="18"/>
      <c r="AEH222" s="18"/>
      <c r="AEI222" s="18"/>
      <c r="AEJ222" s="18"/>
      <c r="AEK222" s="18"/>
      <c r="AEL222" s="18"/>
      <c r="AEM222" s="18"/>
      <c r="AEN222" s="18"/>
      <c r="AEO222" s="18"/>
      <c r="AEP222" s="18"/>
      <c r="AEQ222" s="18"/>
      <c r="AER222" s="18"/>
      <c r="AES222" s="18"/>
      <c r="AET222" s="18"/>
      <c r="AEU222" s="18"/>
      <c r="AEV222" s="18"/>
      <c r="AEW222" s="18"/>
      <c r="AEX222" s="18"/>
      <c r="AEY222" s="18"/>
      <c r="AEZ222" s="18"/>
      <c r="AFA222" s="18"/>
      <c r="AFB222" s="18"/>
      <c r="AFC222" s="18"/>
      <c r="AFD222" s="18"/>
      <c r="AFE222" s="18"/>
      <c r="AFF222" s="18"/>
      <c r="AFG222" s="18"/>
      <c r="AFH222" s="18"/>
      <c r="AFI222" s="18"/>
      <c r="AFJ222" s="18"/>
      <c r="AFK222" s="18"/>
      <c r="AFL222" s="18"/>
      <c r="AFM222" s="18"/>
      <c r="AFN222" s="18"/>
      <c r="AFO222" s="18"/>
      <c r="AFP222" s="18"/>
      <c r="AFQ222" s="18"/>
      <c r="AFR222" s="18"/>
      <c r="AFS222" s="18"/>
      <c r="AFT222" s="18"/>
      <c r="AFU222" s="18"/>
      <c r="AFV222" s="18"/>
      <c r="AFW222" s="18"/>
      <c r="AFX222" s="18"/>
      <c r="AFY222" s="18"/>
      <c r="AFZ222" s="18"/>
      <c r="AGA222" s="18"/>
      <c r="AGB222" s="18"/>
      <c r="AGC222" s="18"/>
      <c r="AGD222" s="18"/>
      <c r="AGE222" s="18"/>
      <c r="AGF222" s="18"/>
      <c r="AGG222" s="18"/>
      <c r="AGH222" s="18"/>
      <c r="AGI222" s="18"/>
      <c r="AGJ222" s="18"/>
      <c r="AGK222" s="18"/>
      <c r="AGL222" s="18"/>
      <c r="AGM222" s="18"/>
      <c r="AGN222" s="18"/>
      <c r="AGO222" s="18"/>
      <c r="AGP222" s="18"/>
      <c r="AGQ222" s="18"/>
      <c r="AGR222" s="18"/>
      <c r="AGS222" s="18"/>
      <c r="AGT222" s="18"/>
      <c r="AGU222" s="18"/>
      <c r="AGV222" s="18"/>
      <c r="AGW222" s="18"/>
      <c r="AGX222" s="18"/>
      <c r="AGY222" s="18"/>
      <c r="AGZ222" s="18"/>
      <c r="AHA222" s="18"/>
      <c r="AHB222" s="18"/>
      <c r="AHC222" s="18"/>
      <c r="AHD222" s="18"/>
      <c r="AHE222" s="18"/>
      <c r="AHF222" s="18"/>
      <c r="AHG222" s="18"/>
      <c r="AHH222" s="18"/>
      <c r="AHI222" s="18"/>
      <c r="AHJ222" s="18"/>
      <c r="AHK222" s="18"/>
      <c r="AHL222" s="18"/>
      <c r="AHM222" s="18"/>
      <c r="AHN222" s="18"/>
      <c r="AHO222" s="18"/>
      <c r="AHP222" s="18"/>
      <c r="AHQ222" s="18"/>
      <c r="AHR222" s="18"/>
      <c r="AHS222" s="18"/>
      <c r="AHT222" s="18"/>
      <c r="AHU222" s="18"/>
      <c r="AHV222" s="18"/>
      <c r="AHW222" s="18"/>
      <c r="AHX222" s="18"/>
      <c r="AHY222" s="18"/>
      <c r="AHZ222" s="18"/>
      <c r="AIA222" s="18"/>
      <c r="AIB222" s="18"/>
      <c r="AIC222" s="18"/>
      <c r="AID222" s="18"/>
      <c r="AIE222" s="18"/>
      <c r="AIF222" s="18"/>
      <c r="AIG222" s="18"/>
      <c r="AIH222" s="18"/>
      <c r="AII222" s="18"/>
      <c r="AIJ222" s="18"/>
      <c r="AIK222" s="18"/>
      <c r="AIL222" s="18"/>
      <c r="AIM222" s="18"/>
      <c r="AIN222" s="18"/>
      <c r="AIO222" s="18"/>
      <c r="AIP222" s="18"/>
      <c r="AIQ222" s="18"/>
      <c r="AIR222" s="18"/>
      <c r="AIS222" s="18"/>
      <c r="AIT222" s="18"/>
      <c r="AIU222" s="18"/>
      <c r="AIV222" s="18"/>
      <c r="AIW222" s="18"/>
      <c r="AIX222" s="18"/>
      <c r="AIY222" s="18"/>
      <c r="AIZ222" s="18"/>
      <c r="AJA222" s="18"/>
      <c r="AJB222" s="18"/>
      <c r="AJC222" s="18"/>
      <c r="AJD222" s="18"/>
      <c r="AJE222" s="18"/>
      <c r="AJF222" s="18"/>
      <c r="AJG222" s="18"/>
      <c r="AJH222" s="18"/>
      <c r="AJI222" s="18"/>
      <c r="AJJ222" s="18"/>
      <c r="AJK222" s="18"/>
      <c r="AJL222" s="18"/>
      <c r="AJM222" s="18"/>
      <c r="AJN222" s="18"/>
      <c r="AJO222" s="18"/>
      <c r="AJP222" s="18"/>
      <c r="AJQ222" s="18"/>
      <c r="AJR222" s="18"/>
      <c r="AJS222" s="18"/>
      <c r="AJT222" s="18"/>
      <c r="AJU222" s="18"/>
      <c r="AJV222" s="18"/>
      <c r="AJW222" s="18"/>
      <c r="AJX222" s="18"/>
      <c r="AJY222" s="18"/>
      <c r="AJZ222" s="18"/>
      <c r="AKA222" s="18"/>
      <c r="AKB222" s="18"/>
      <c r="AKC222" s="18"/>
      <c r="AKD222" s="18"/>
      <c r="AKE222" s="18"/>
      <c r="AKF222" s="18"/>
      <c r="AKG222" s="18"/>
      <c r="AKH222" s="18"/>
      <c r="AKI222" s="18"/>
      <c r="AKJ222" s="18"/>
      <c r="AKK222" s="18"/>
      <c r="AKL222" s="18"/>
      <c r="AKM222" s="18"/>
      <c r="AKN222" s="18"/>
      <c r="AKO222" s="18"/>
      <c r="AKP222" s="18"/>
      <c r="AKQ222" s="18"/>
      <c r="AKR222" s="18"/>
      <c r="AKS222" s="18"/>
      <c r="AKT222" s="18"/>
      <c r="AKU222" s="18"/>
      <c r="AKV222" s="18"/>
      <c r="AKW222" s="18"/>
      <c r="AKX222" s="18"/>
      <c r="AKY222" s="18"/>
      <c r="AKZ222" s="18"/>
      <c r="ALA222" s="18"/>
      <c r="ALB222" s="18"/>
      <c r="ALC222" s="18"/>
      <c r="ALD222" s="18"/>
      <c r="ALE222" s="18"/>
      <c r="ALF222" s="18"/>
      <c r="ALG222" s="18"/>
      <c r="ALH222" s="18"/>
      <c r="ALI222" s="18"/>
      <c r="ALJ222" s="18"/>
      <c r="ALK222" s="18"/>
      <c r="ALL222" s="18"/>
      <c r="ALM222" s="18"/>
      <c r="ALN222" s="18"/>
      <c r="ALO222" s="18"/>
      <c r="ALP222" s="18"/>
      <c r="ALQ222" s="18"/>
      <c r="ALR222" s="18"/>
      <c r="ALS222" s="18"/>
      <c r="ALT222" s="18"/>
      <c r="ALU222" s="18"/>
      <c r="ALV222" s="18"/>
      <c r="ALW222" s="18"/>
      <c r="ALX222" s="18"/>
      <c r="ALY222" s="18"/>
      <c r="ALZ222" s="18"/>
      <c r="AMA222" s="18"/>
      <c r="AMB222" s="18"/>
      <c r="AMC222" s="18"/>
      <c r="AMD222" s="18"/>
      <c r="AME222" s="18"/>
      <c r="AMF222" s="18"/>
      <c r="AMG222" s="18"/>
      <c r="AMH222" s="18"/>
      <c r="AMI222" s="18"/>
      <c r="AMJ222" s="18"/>
      <c r="AMK222" s="18"/>
      <c r="AML222" s="18"/>
      <c r="AMM222" s="18"/>
      <c r="AMN222" s="18"/>
      <c r="AMO222" s="18"/>
      <c r="AMP222" s="18"/>
      <c r="AMQ222" s="18"/>
      <c r="AMR222" s="18"/>
      <c r="AMS222" s="18"/>
      <c r="AMT222" s="18"/>
      <c r="AMU222" s="18"/>
      <c r="AMV222" s="18"/>
      <c r="AMW222" s="18"/>
      <c r="AMX222" s="18"/>
      <c r="AMY222" s="18"/>
      <c r="AMZ222" s="18"/>
      <c r="ANA222" s="18"/>
      <c r="ANB222" s="18"/>
      <c r="ANC222" s="18"/>
      <c r="AND222" s="18"/>
      <c r="ANE222" s="18"/>
      <c r="ANF222" s="18"/>
      <c r="ANG222" s="18"/>
      <c r="ANH222" s="18"/>
      <c r="ANI222" s="18"/>
      <c r="ANJ222" s="18"/>
      <c r="ANK222" s="18"/>
      <c r="ANL222" s="18"/>
      <c r="ANM222" s="18"/>
      <c r="ANN222" s="18"/>
      <c r="ANO222" s="18"/>
      <c r="ANP222" s="18"/>
      <c r="ANQ222" s="18"/>
      <c r="ANR222" s="18"/>
      <c r="ANS222" s="18"/>
      <c r="ANT222" s="18"/>
      <c r="ANU222" s="18"/>
      <c r="ANV222" s="18"/>
      <c r="ANW222" s="18"/>
      <c r="ANX222" s="18"/>
      <c r="ANY222" s="18"/>
      <c r="ANZ222" s="18"/>
      <c r="AOA222" s="18"/>
      <c r="AOB222" s="18"/>
      <c r="AOC222" s="18"/>
      <c r="AOD222" s="18"/>
      <c r="AOE222" s="18"/>
      <c r="AOF222" s="18"/>
      <c r="AOG222" s="18"/>
      <c r="AOH222" s="18"/>
      <c r="AOI222" s="18"/>
      <c r="AOJ222" s="18"/>
      <c r="AOK222" s="18"/>
      <c r="AOL222" s="18"/>
      <c r="AOM222" s="18"/>
      <c r="AON222" s="18"/>
      <c r="AOO222" s="18"/>
      <c r="AOP222" s="18"/>
      <c r="AOQ222" s="18"/>
      <c r="AOR222" s="18"/>
      <c r="AOS222" s="18"/>
      <c r="AOT222" s="18"/>
      <c r="AOU222" s="18"/>
      <c r="AOV222" s="18"/>
      <c r="AOW222" s="18"/>
      <c r="AOX222" s="18"/>
      <c r="AOY222" s="18"/>
      <c r="AOZ222" s="18"/>
      <c r="APA222" s="18"/>
      <c r="APB222" s="18"/>
      <c r="APC222" s="18"/>
      <c r="APD222" s="18"/>
      <c r="APE222" s="18"/>
      <c r="APF222" s="18"/>
      <c r="APG222" s="18"/>
      <c r="APH222" s="18"/>
      <c r="API222" s="18"/>
      <c r="APJ222" s="18"/>
      <c r="APK222" s="18"/>
      <c r="APL222" s="18"/>
      <c r="APM222" s="18"/>
      <c r="APN222" s="18"/>
      <c r="APO222" s="18"/>
      <c r="APP222" s="18"/>
      <c r="APQ222" s="18"/>
      <c r="APR222" s="18"/>
      <c r="APS222" s="18"/>
      <c r="APT222" s="18"/>
      <c r="APU222" s="18"/>
      <c r="APV222" s="18"/>
      <c r="APW222" s="18"/>
      <c r="APX222" s="18"/>
      <c r="APY222" s="18"/>
      <c r="APZ222" s="18"/>
      <c r="AQA222" s="18"/>
      <c r="AQB222" s="18"/>
      <c r="AQC222" s="18"/>
      <c r="AQD222" s="18"/>
      <c r="AQE222" s="18"/>
      <c r="AQF222" s="18"/>
      <c r="AQG222" s="18"/>
      <c r="AQH222" s="18"/>
      <c r="AQI222" s="18"/>
      <c r="AQJ222" s="18"/>
      <c r="AQK222" s="18"/>
      <c r="AQL222" s="18"/>
      <c r="AQM222" s="18"/>
      <c r="AQN222" s="18"/>
      <c r="AQO222" s="18"/>
      <c r="AQP222" s="18"/>
      <c r="AQQ222" s="18"/>
      <c r="AQR222" s="18"/>
      <c r="AQS222" s="18"/>
      <c r="AQT222" s="18"/>
      <c r="AQU222" s="18"/>
      <c r="AQV222" s="18"/>
      <c r="AQW222" s="18"/>
      <c r="AQX222" s="18"/>
      <c r="AQY222" s="18"/>
      <c r="AQZ222" s="18"/>
      <c r="ARA222" s="18"/>
      <c r="ARB222" s="18"/>
      <c r="ARC222" s="18"/>
      <c r="ARD222" s="18"/>
      <c r="ARE222" s="18"/>
      <c r="ARF222" s="18"/>
      <c r="ARG222" s="18"/>
      <c r="ARH222" s="18"/>
      <c r="ARI222" s="18"/>
      <c r="ARJ222" s="18"/>
      <c r="ARK222" s="18"/>
      <c r="ARL222" s="18"/>
      <c r="ARM222" s="18"/>
      <c r="ARN222" s="18"/>
      <c r="ARO222" s="18"/>
      <c r="ARP222" s="18"/>
      <c r="ARQ222" s="18"/>
      <c r="ARR222" s="18"/>
      <c r="ARS222" s="18"/>
      <c r="ART222" s="18"/>
      <c r="ARU222" s="18"/>
      <c r="ARV222" s="18"/>
      <c r="ARW222" s="18"/>
      <c r="ARX222" s="18"/>
      <c r="ARY222" s="18"/>
      <c r="ARZ222" s="18"/>
      <c r="ASA222" s="18"/>
      <c r="ASB222" s="18"/>
      <c r="ASC222" s="18"/>
      <c r="ASD222" s="18"/>
      <c r="ASE222" s="18"/>
      <c r="ASF222" s="18"/>
      <c r="ASG222" s="18"/>
      <c r="ASH222" s="18"/>
      <c r="ASI222" s="18"/>
      <c r="ASJ222" s="18"/>
      <c r="ASK222" s="18"/>
      <c r="ASL222" s="18"/>
      <c r="ASM222" s="18"/>
      <c r="ASN222" s="18"/>
      <c r="ASO222" s="18"/>
      <c r="ASP222" s="18"/>
      <c r="ASQ222" s="18"/>
      <c r="ASR222" s="18"/>
      <c r="ASS222" s="18"/>
      <c r="AST222" s="18"/>
      <c r="ASU222" s="18"/>
      <c r="ASV222" s="18"/>
      <c r="ASW222" s="18"/>
      <c r="ASX222" s="18"/>
      <c r="ASY222" s="18"/>
      <c r="ASZ222" s="18"/>
      <c r="ATA222" s="18"/>
      <c r="ATB222" s="18"/>
      <c r="ATC222" s="18"/>
      <c r="ATD222" s="18"/>
      <c r="ATE222" s="18"/>
      <c r="ATF222" s="18"/>
      <c r="ATG222" s="18"/>
      <c r="ATH222" s="18"/>
      <c r="ATI222" s="18"/>
      <c r="ATJ222" s="18"/>
      <c r="ATK222" s="18"/>
      <c r="ATL222" s="18"/>
      <c r="ATM222" s="18"/>
      <c r="ATN222" s="18"/>
      <c r="ATO222" s="18"/>
      <c r="ATP222" s="18"/>
      <c r="ATQ222" s="18"/>
      <c r="ATR222" s="18"/>
      <c r="ATS222" s="18"/>
      <c r="ATT222" s="18"/>
      <c r="ATU222" s="18"/>
      <c r="ATV222" s="18"/>
      <c r="ATW222" s="18"/>
      <c r="ATX222" s="18"/>
      <c r="ATY222" s="18"/>
      <c r="ATZ222" s="18"/>
      <c r="AUA222" s="18"/>
      <c r="AUB222" s="18"/>
      <c r="AUC222" s="18"/>
      <c r="AUD222" s="18"/>
      <c r="AUE222" s="18"/>
      <c r="AUF222" s="18"/>
      <c r="AUG222" s="18"/>
      <c r="AUH222" s="18"/>
      <c r="AUI222" s="18"/>
      <c r="AUJ222" s="18"/>
      <c r="AUK222" s="18"/>
      <c r="AUL222" s="18"/>
      <c r="AUM222" s="18"/>
      <c r="AUN222" s="18"/>
      <c r="AUO222" s="18"/>
      <c r="AUP222" s="18"/>
      <c r="AUQ222" s="18"/>
      <c r="AUR222" s="18"/>
      <c r="AUS222" s="18"/>
      <c r="AUT222" s="18"/>
      <c r="AUU222" s="18"/>
      <c r="AUV222" s="18"/>
      <c r="AUW222" s="18"/>
      <c r="AUX222" s="18"/>
      <c r="AUY222" s="18"/>
      <c r="AUZ222" s="18"/>
      <c r="AVA222" s="18"/>
      <c r="AVB222" s="18"/>
      <c r="AVC222" s="18"/>
      <c r="AVD222" s="18"/>
      <c r="AVE222" s="18"/>
      <c r="AVF222" s="18"/>
      <c r="AVG222" s="18"/>
      <c r="AVH222" s="18"/>
      <c r="AVI222" s="18"/>
      <c r="AVJ222" s="18"/>
      <c r="AVK222" s="18"/>
      <c r="AVL222" s="18"/>
      <c r="AVM222" s="18"/>
      <c r="AVN222" s="18"/>
      <c r="AVO222" s="18"/>
      <c r="AVP222" s="18"/>
      <c r="AVQ222" s="18"/>
      <c r="AVR222" s="18"/>
      <c r="AVS222" s="18"/>
      <c r="AVT222" s="18"/>
      <c r="AVU222" s="18"/>
      <c r="AVV222" s="18"/>
      <c r="AVW222" s="18"/>
      <c r="AVX222" s="18"/>
      <c r="AVY222" s="18"/>
      <c r="AVZ222" s="18"/>
      <c r="AWA222" s="18"/>
      <c r="AWB222" s="18"/>
      <c r="AWC222" s="18"/>
      <c r="AWD222" s="18"/>
      <c r="AWE222" s="18"/>
      <c r="AWF222" s="18"/>
      <c r="AWG222" s="18"/>
      <c r="AWH222" s="18"/>
      <c r="AWI222" s="18"/>
      <c r="AWJ222" s="18"/>
      <c r="AWK222" s="18"/>
      <c r="AWL222" s="18"/>
      <c r="AWM222" s="18"/>
      <c r="AWN222" s="18"/>
      <c r="AWO222" s="18"/>
      <c r="AWP222" s="18"/>
      <c r="AWQ222" s="18"/>
      <c r="AWR222" s="18"/>
      <c r="AWS222" s="18"/>
      <c r="AWT222" s="18"/>
      <c r="AWU222" s="18"/>
      <c r="AWV222" s="18"/>
      <c r="AWW222" s="18"/>
      <c r="AWX222" s="18"/>
      <c r="AWY222" s="18"/>
      <c r="AWZ222" s="18"/>
      <c r="AXA222" s="18"/>
      <c r="AXB222" s="18"/>
      <c r="AXC222" s="18"/>
      <c r="AXD222" s="18"/>
      <c r="AXE222" s="18"/>
      <c r="AXF222" s="18"/>
      <c r="AXG222" s="18"/>
      <c r="AXH222" s="18"/>
      <c r="AXI222" s="18"/>
      <c r="AXJ222" s="18"/>
      <c r="AXK222" s="18"/>
      <c r="AXL222" s="18"/>
      <c r="AXM222" s="18"/>
      <c r="AXN222" s="18"/>
      <c r="AXO222" s="18"/>
      <c r="AXP222" s="18"/>
      <c r="AXQ222" s="18"/>
      <c r="AXR222" s="18"/>
      <c r="AXS222" s="18"/>
      <c r="AXT222" s="18"/>
      <c r="AXU222" s="18"/>
      <c r="AXV222" s="18"/>
      <c r="AXW222" s="18"/>
      <c r="AXX222" s="18"/>
      <c r="AXY222" s="18"/>
      <c r="AXZ222" s="18"/>
      <c r="AYA222" s="18"/>
      <c r="AYB222" s="18"/>
      <c r="AYC222" s="18"/>
      <c r="AYD222" s="18"/>
      <c r="AYE222" s="18"/>
      <c r="AYF222" s="18"/>
      <c r="AYG222" s="18"/>
      <c r="AYH222" s="18"/>
      <c r="AYI222" s="18"/>
      <c r="AYJ222" s="18"/>
      <c r="AYK222" s="18"/>
      <c r="AYL222" s="18"/>
      <c r="AYM222" s="18"/>
      <c r="AYN222" s="18"/>
      <c r="AYO222" s="18"/>
      <c r="AYP222" s="18"/>
      <c r="AYQ222" s="18"/>
      <c r="AYR222" s="18"/>
      <c r="AYS222" s="18"/>
      <c r="AYT222" s="18"/>
      <c r="AYU222" s="18"/>
      <c r="AYV222" s="18"/>
      <c r="AYW222" s="18"/>
      <c r="AYX222" s="18"/>
      <c r="AYY222" s="18"/>
      <c r="AYZ222" s="18"/>
      <c r="AZA222" s="18"/>
      <c r="AZB222" s="18"/>
      <c r="AZC222" s="18"/>
      <c r="AZD222" s="18"/>
      <c r="AZE222" s="18"/>
      <c r="AZF222" s="18"/>
      <c r="AZG222" s="18"/>
      <c r="AZH222" s="18"/>
      <c r="AZI222" s="18"/>
      <c r="AZJ222" s="18"/>
      <c r="AZK222" s="18"/>
      <c r="AZL222" s="18"/>
      <c r="AZM222" s="18"/>
      <c r="AZN222" s="18"/>
      <c r="AZO222" s="18"/>
      <c r="AZP222" s="18"/>
      <c r="AZQ222" s="18"/>
      <c r="AZR222" s="18"/>
      <c r="AZS222" s="18"/>
      <c r="AZT222" s="18"/>
      <c r="AZU222" s="18"/>
      <c r="AZV222" s="18"/>
      <c r="AZW222" s="18"/>
      <c r="AZX222" s="18"/>
      <c r="AZY222" s="18"/>
      <c r="AZZ222" s="18"/>
      <c r="BAA222" s="18"/>
      <c r="BAB222" s="18"/>
      <c r="BAC222" s="18"/>
      <c r="BAD222" s="18"/>
      <c r="BAE222" s="18"/>
      <c r="BAF222" s="18"/>
      <c r="BAG222" s="18"/>
      <c r="BAH222" s="18"/>
      <c r="BAI222" s="18"/>
      <c r="BAJ222" s="18"/>
      <c r="BAK222" s="18"/>
      <c r="BAL222" s="18"/>
      <c r="BAM222" s="18"/>
      <c r="BAN222" s="18"/>
      <c r="BAO222" s="18"/>
      <c r="BAP222" s="18"/>
      <c r="BAQ222" s="18"/>
      <c r="BAR222" s="18"/>
      <c r="BAS222" s="18"/>
      <c r="BAT222" s="18"/>
      <c r="BAU222" s="18"/>
      <c r="BAV222" s="18"/>
      <c r="BAW222" s="18"/>
      <c r="BAX222" s="18"/>
      <c r="BAY222" s="18"/>
      <c r="BAZ222" s="18"/>
      <c r="BBA222" s="18"/>
      <c r="BBB222" s="18"/>
      <c r="BBC222" s="18"/>
      <c r="BBD222" s="18"/>
      <c r="BBE222" s="18"/>
      <c r="BBF222" s="18"/>
      <c r="BBG222" s="18"/>
      <c r="BBH222" s="18"/>
      <c r="BBI222" s="18"/>
      <c r="BBJ222" s="18"/>
      <c r="BBK222" s="18"/>
      <c r="BBL222" s="18"/>
      <c r="BBM222" s="18"/>
      <c r="BBN222" s="18"/>
      <c r="BBO222" s="18"/>
      <c r="BBP222" s="18"/>
      <c r="BBQ222" s="18"/>
      <c r="BBR222" s="18"/>
      <c r="BBS222" s="18"/>
      <c r="BBT222" s="18"/>
      <c r="BBU222" s="18"/>
      <c r="BBV222" s="18"/>
      <c r="BBW222" s="18"/>
      <c r="BBX222" s="18"/>
      <c r="BBY222" s="18"/>
      <c r="BBZ222" s="18"/>
      <c r="BCA222" s="18"/>
      <c r="BCB222" s="18"/>
      <c r="BCC222" s="18"/>
      <c r="BCD222" s="18"/>
      <c r="BCE222" s="18"/>
      <c r="BCF222" s="18"/>
      <c r="BCG222" s="18"/>
      <c r="BCH222" s="18"/>
      <c r="BCI222" s="18"/>
      <c r="BCJ222" s="18"/>
      <c r="BCK222" s="18"/>
      <c r="BCL222" s="18"/>
      <c r="BCM222" s="18"/>
      <c r="BCN222" s="18"/>
      <c r="BCO222" s="18"/>
      <c r="BCP222" s="18"/>
      <c r="BCQ222" s="18"/>
      <c r="BCR222" s="18"/>
      <c r="BCS222" s="18"/>
      <c r="BCT222" s="18"/>
      <c r="BCU222" s="18"/>
      <c r="BCV222" s="18"/>
      <c r="BCW222" s="18"/>
      <c r="BCX222" s="18"/>
      <c r="BCY222" s="18"/>
      <c r="BCZ222" s="18"/>
      <c r="BDA222" s="18"/>
      <c r="BDB222" s="18"/>
      <c r="BDC222" s="18"/>
      <c r="BDD222" s="18"/>
      <c r="BDE222" s="18"/>
      <c r="BDF222" s="18"/>
      <c r="BDG222" s="18"/>
      <c r="BDH222" s="18"/>
      <c r="BDI222" s="18"/>
      <c r="BDJ222" s="18"/>
      <c r="BDK222" s="18"/>
      <c r="BDL222" s="18"/>
      <c r="BDM222" s="18"/>
      <c r="BDN222" s="18"/>
      <c r="BDO222" s="18"/>
      <c r="BDP222" s="18"/>
      <c r="BDQ222" s="18"/>
      <c r="BDR222" s="18"/>
      <c r="BDS222" s="18"/>
      <c r="BDT222" s="18"/>
      <c r="BDU222" s="18"/>
      <c r="BDV222" s="18"/>
      <c r="BDW222" s="18"/>
      <c r="BDX222" s="18"/>
      <c r="BDY222" s="18"/>
      <c r="BDZ222" s="18"/>
      <c r="BEA222" s="18"/>
      <c r="BEB222" s="18"/>
      <c r="BEC222" s="18"/>
      <c r="BED222" s="18"/>
      <c r="BEE222" s="18"/>
      <c r="BEF222" s="18"/>
      <c r="BEG222" s="18"/>
      <c r="BEH222" s="18"/>
      <c r="BEI222" s="18"/>
      <c r="BEJ222" s="18"/>
      <c r="BEK222" s="18"/>
      <c r="BEL222" s="18"/>
      <c r="BEM222" s="18"/>
      <c r="BEN222" s="18"/>
      <c r="BEO222" s="18"/>
      <c r="BEP222" s="18"/>
      <c r="BEQ222" s="18"/>
      <c r="BER222" s="18"/>
      <c r="BES222" s="18"/>
      <c r="BET222" s="18"/>
      <c r="BEU222" s="18"/>
      <c r="BEV222" s="18"/>
      <c r="BEW222" s="18"/>
      <c r="BEX222" s="18"/>
      <c r="BEY222" s="18"/>
      <c r="BEZ222" s="18"/>
      <c r="BFA222" s="18"/>
      <c r="BFB222" s="18"/>
      <c r="BFC222" s="18"/>
      <c r="BFD222" s="18"/>
      <c r="BFE222" s="18"/>
      <c r="BFF222" s="18"/>
      <c r="BFG222" s="18"/>
      <c r="BFH222" s="18"/>
      <c r="BFI222" s="18"/>
      <c r="BFJ222" s="18"/>
      <c r="BFK222" s="18"/>
      <c r="BFL222" s="18"/>
      <c r="BFM222" s="18"/>
      <c r="BFN222" s="18"/>
      <c r="BFO222" s="18"/>
      <c r="BFP222" s="18"/>
      <c r="BFQ222" s="18"/>
      <c r="BFR222" s="18"/>
      <c r="BFS222" s="18"/>
      <c r="BFT222" s="18"/>
      <c r="BFU222" s="18"/>
      <c r="BFV222" s="18"/>
      <c r="BFW222" s="18"/>
      <c r="BFX222" s="18"/>
      <c r="BFY222" s="18"/>
      <c r="BFZ222" s="18"/>
      <c r="BGA222" s="18"/>
      <c r="BGB222" s="18"/>
      <c r="BGC222" s="18"/>
      <c r="BGD222" s="18"/>
      <c r="BGE222" s="18"/>
      <c r="BGF222" s="18"/>
      <c r="BGG222" s="18"/>
      <c r="BGH222" s="18"/>
      <c r="BGI222" s="18"/>
      <c r="BGJ222" s="18"/>
      <c r="BGK222" s="18"/>
      <c r="BGL222" s="18"/>
      <c r="BGM222" s="18"/>
      <c r="BGN222" s="18"/>
      <c r="BGO222" s="18"/>
      <c r="BGP222" s="18"/>
      <c r="BGQ222" s="18"/>
      <c r="BGR222" s="18"/>
      <c r="BGS222" s="18"/>
      <c r="BGT222" s="18"/>
      <c r="BGU222" s="18"/>
      <c r="BGV222" s="18"/>
      <c r="BGW222" s="18"/>
      <c r="BGX222" s="18"/>
      <c r="BGY222" s="18"/>
      <c r="BGZ222" s="18"/>
      <c r="BHA222" s="18"/>
      <c r="BHB222" s="18"/>
      <c r="BHC222" s="18"/>
      <c r="BHD222" s="18"/>
      <c r="BHE222" s="18"/>
      <c r="BHF222" s="18"/>
      <c r="BHG222" s="18"/>
      <c r="BHH222" s="18"/>
      <c r="BHI222" s="18"/>
      <c r="BHJ222" s="18"/>
      <c r="BHK222" s="18"/>
      <c r="BHL222" s="18"/>
      <c r="BHM222" s="18"/>
      <c r="BHN222" s="18"/>
      <c r="BHO222" s="18"/>
      <c r="BHP222" s="18"/>
      <c r="BHQ222" s="18"/>
      <c r="BHR222" s="18"/>
      <c r="BHS222" s="18"/>
      <c r="BHT222" s="18"/>
      <c r="BHU222" s="18"/>
      <c r="BHV222" s="18"/>
      <c r="BHW222" s="18"/>
      <c r="BHX222" s="18"/>
      <c r="BHY222" s="18"/>
      <c r="BHZ222" s="18"/>
      <c r="BIA222" s="18"/>
      <c r="BIB222" s="18"/>
      <c r="BIC222" s="18"/>
      <c r="BID222" s="18"/>
      <c r="BIE222" s="18"/>
      <c r="BIF222" s="18"/>
      <c r="BIG222" s="18"/>
      <c r="BIH222" s="18"/>
      <c r="BII222" s="18"/>
      <c r="BIJ222" s="18"/>
      <c r="BIK222" s="18"/>
      <c r="BIL222" s="18"/>
      <c r="BIM222" s="18"/>
      <c r="BIN222" s="18"/>
      <c r="BIO222" s="18"/>
      <c r="BIP222" s="18"/>
      <c r="BIQ222" s="18"/>
      <c r="BIR222" s="18"/>
      <c r="BIS222" s="18"/>
      <c r="BIT222" s="18"/>
      <c r="BIU222" s="18"/>
      <c r="BIV222" s="18"/>
      <c r="BIW222" s="18"/>
      <c r="BIX222" s="18"/>
      <c r="BIY222" s="18"/>
      <c r="BIZ222" s="18"/>
      <c r="BJA222" s="18"/>
      <c r="BJB222" s="18"/>
      <c r="BJC222" s="18"/>
      <c r="BJD222" s="18"/>
      <c r="BJE222" s="18"/>
      <c r="BJF222" s="18"/>
      <c r="BJG222" s="18"/>
      <c r="BJH222" s="18"/>
      <c r="BJI222" s="18"/>
      <c r="BJJ222" s="18"/>
      <c r="BJK222" s="18"/>
      <c r="BJL222" s="18"/>
      <c r="BJM222" s="18"/>
      <c r="BJN222" s="18"/>
      <c r="BJO222" s="18"/>
      <c r="BJP222" s="18"/>
      <c r="BJQ222" s="18"/>
      <c r="BJR222" s="18"/>
      <c r="BJS222" s="18"/>
      <c r="BJT222" s="18"/>
      <c r="BJU222" s="18"/>
      <c r="BJV222" s="18"/>
      <c r="BJW222" s="18"/>
      <c r="BJX222" s="18"/>
      <c r="BJY222" s="18"/>
      <c r="BJZ222" s="18"/>
      <c r="BKA222" s="18"/>
      <c r="BKB222" s="18"/>
      <c r="BKC222" s="18"/>
      <c r="BKD222" s="18"/>
      <c r="BKE222" s="18"/>
      <c r="BKF222" s="18"/>
      <c r="BKG222" s="18"/>
      <c r="BKH222" s="18"/>
      <c r="BKI222" s="18"/>
      <c r="BKJ222" s="18"/>
      <c r="BKK222" s="18"/>
      <c r="BKL222" s="18"/>
      <c r="BKM222" s="18"/>
      <c r="BKN222" s="18"/>
      <c r="BKO222" s="18"/>
      <c r="BKP222" s="18"/>
      <c r="BKQ222" s="18"/>
      <c r="BKR222" s="18"/>
      <c r="BKS222" s="18"/>
      <c r="BKT222" s="18"/>
      <c r="BKU222" s="18"/>
      <c r="BKV222" s="18"/>
      <c r="BKW222" s="18"/>
      <c r="BKX222" s="18"/>
      <c r="BKY222" s="18"/>
      <c r="BKZ222" s="18"/>
      <c r="BLA222" s="18"/>
      <c r="BLB222" s="18"/>
      <c r="BLC222" s="18"/>
      <c r="BLD222" s="18"/>
      <c r="BLE222" s="18"/>
      <c r="BLF222" s="18"/>
      <c r="BLG222" s="18"/>
      <c r="BLH222" s="18"/>
      <c r="BLI222" s="18"/>
      <c r="BLJ222" s="18"/>
      <c r="BLK222" s="18"/>
      <c r="BLL222" s="18"/>
      <c r="BLM222" s="18"/>
      <c r="BLN222" s="18"/>
      <c r="BLO222" s="18"/>
      <c r="BLP222" s="18"/>
      <c r="BLQ222" s="18"/>
      <c r="BLR222" s="18"/>
      <c r="BLS222" s="18"/>
      <c r="BLT222" s="18"/>
      <c r="BLU222" s="18"/>
      <c r="BLV222" s="18"/>
      <c r="BLW222" s="18"/>
      <c r="BLX222" s="18"/>
      <c r="BLY222" s="18"/>
      <c r="BLZ222" s="18"/>
      <c r="BMA222" s="18"/>
      <c r="BMB222" s="18"/>
      <c r="BMC222" s="18"/>
      <c r="BMD222" s="18"/>
      <c r="BME222" s="18"/>
      <c r="BMF222" s="18"/>
      <c r="BMG222" s="18"/>
      <c r="BMH222" s="18"/>
      <c r="BMI222" s="18"/>
      <c r="BMJ222" s="18"/>
      <c r="BMK222" s="18"/>
      <c r="BML222" s="18"/>
      <c r="BMM222" s="18"/>
      <c r="BMN222" s="18"/>
      <c r="BMO222" s="18"/>
      <c r="BMP222" s="18"/>
      <c r="BMQ222" s="18"/>
      <c r="BMR222" s="18"/>
      <c r="BMS222" s="18"/>
      <c r="BMT222" s="18"/>
      <c r="BMU222" s="18"/>
      <c r="BMV222" s="18"/>
      <c r="BMW222" s="18"/>
      <c r="BMX222" s="18"/>
      <c r="BMY222" s="18"/>
      <c r="BMZ222" s="18"/>
      <c r="BNA222" s="18"/>
      <c r="BNB222" s="18"/>
      <c r="BNC222" s="18"/>
      <c r="BND222" s="18"/>
      <c r="BNE222" s="18"/>
      <c r="BNF222" s="18"/>
      <c r="BNG222" s="18"/>
      <c r="BNH222" s="18"/>
      <c r="BNI222" s="18"/>
      <c r="BNJ222" s="18"/>
      <c r="BNK222" s="18"/>
      <c r="BNL222" s="18"/>
      <c r="BNM222" s="18"/>
      <c r="BNN222" s="18"/>
      <c r="BNO222" s="18"/>
      <c r="BNP222" s="18"/>
      <c r="BNQ222" s="18"/>
      <c r="BNR222" s="18"/>
      <c r="BNS222" s="18"/>
      <c r="BNT222" s="18"/>
      <c r="BNU222" s="18"/>
      <c r="BNV222" s="18"/>
      <c r="BNW222" s="18"/>
      <c r="BNX222" s="18"/>
      <c r="BNY222" s="18"/>
      <c r="BNZ222" s="18"/>
      <c r="BOA222" s="18"/>
      <c r="BOB222" s="18"/>
      <c r="BOC222" s="18"/>
      <c r="BOD222" s="18"/>
      <c r="BOE222" s="18"/>
      <c r="BOF222" s="18"/>
      <c r="BOG222" s="18"/>
      <c r="BOH222" s="18"/>
      <c r="BOI222" s="18"/>
      <c r="BOJ222" s="18"/>
      <c r="BOK222" s="18"/>
      <c r="BOL222" s="18"/>
      <c r="BOM222" s="18"/>
      <c r="BON222" s="18"/>
      <c r="BOO222" s="18"/>
      <c r="BOP222" s="18"/>
      <c r="BOQ222" s="18"/>
      <c r="BOR222" s="18"/>
      <c r="BOS222" s="18"/>
      <c r="BOT222" s="18"/>
      <c r="BOU222" s="18"/>
      <c r="BOV222" s="18"/>
      <c r="BOW222" s="18"/>
      <c r="BOX222" s="18"/>
      <c r="BOY222" s="18"/>
      <c r="BOZ222" s="18"/>
      <c r="BPA222" s="18"/>
      <c r="BPB222" s="18"/>
      <c r="BPC222" s="18"/>
      <c r="BPD222" s="18"/>
      <c r="BPE222" s="18"/>
      <c r="BPF222" s="18"/>
      <c r="BPG222" s="18"/>
      <c r="BPH222" s="18"/>
      <c r="BPI222" s="18"/>
      <c r="BPJ222" s="18"/>
      <c r="BPK222" s="18"/>
      <c r="BPL222" s="18"/>
      <c r="BPM222" s="18"/>
      <c r="BPN222" s="18"/>
      <c r="BPO222" s="18"/>
      <c r="BPP222" s="18"/>
      <c r="BPQ222" s="18"/>
      <c r="BPR222" s="18"/>
      <c r="BPS222" s="18"/>
      <c r="BPT222" s="18"/>
      <c r="BPU222" s="18"/>
      <c r="BPV222" s="18"/>
      <c r="BPW222" s="18"/>
      <c r="BPX222" s="18"/>
      <c r="BPY222" s="18"/>
      <c r="BPZ222" s="18"/>
      <c r="BQA222" s="18"/>
      <c r="BQB222" s="18"/>
      <c r="BQC222" s="18"/>
      <c r="BQD222" s="18"/>
      <c r="BQE222" s="18"/>
      <c r="BQF222" s="18"/>
      <c r="BQG222" s="18"/>
      <c r="BQH222" s="18"/>
      <c r="BQI222" s="18"/>
      <c r="BQJ222" s="18"/>
      <c r="BQK222" s="18"/>
      <c r="BQL222" s="18"/>
      <c r="BQM222" s="18"/>
      <c r="BQN222" s="18"/>
      <c r="BQO222" s="18"/>
      <c r="BQP222" s="18"/>
      <c r="BQQ222" s="18"/>
      <c r="BQR222" s="18"/>
      <c r="BQS222" s="18"/>
      <c r="BQT222" s="18"/>
      <c r="BQU222" s="18"/>
      <c r="BQV222" s="18"/>
      <c r="BQW222" s="18"/>
      <c r="BQX222" s="18"/>
      <c r="BQY222" s="18"/>
      <c r="BQZ222" s="18"/>
      <c r="BRA222" s="18"/>
      <c r="BRB222" s="18"/>
      <c r="BRC222" s="18"/>
      <c r="BRD222" s="18"/>
      <c r="BRE222" s="18"/>
      <c r="BRF222" s="18"/>
      <c r="BRG222" s="18"/>
      <c r="BRH222" s="18"/>
      <c r="BRI222" s="18"/>
      <c r="BRJ222" s="18"/>
      <c r="BRK222" s="18"/>
      <c r="BRL222" s="18"/>
      <c r="BRM222" s="18"/>
      <c r="BRN222" s="18"/>
      <c r="BRO222" s="18"/>
      <c r="BRP222" s="18"/>
      <c r="BRQ222" s="18"/>
      <c r="BRR222" s="18"/>
      <c r="BRS222" s="18"/>
      <c r="BRT222" s="18"/>
      <c r="BRU222" s="18"/>
      <c r="BRV222" s="18"/>
      <c r="BRW222" s="18"/>
      <c r="BRX222" s="18"/>
      <c r="BRY222" s="18"/>
      <c r="BRZ222" s="18"/>
      <c r="BSA222" s="18"/>
      <c r="BSB222" s="18"/>
      <c r="BSC222" s="18"/>
      <c r="BSD222" s="18"/>
      <c r="BSE222" s="18"/>
      <c r="BSF222" s="18"/>
      <c r="BSG222" s="18"/>
      <c r="BSH222" s="18"/>
      <c r="BSI222" s="18"/>
      <c r="BSJ222" s="18"/>
      <c r="BSK222" s="18"/>
      <c r="BSL222" s="18"/>
      <c r="BSM222" s="18"/>
      <c r="BSN222" s="18"/>
      <c r="BSO222" s="18"/>
      <c r="BSP222" s="18"/>
      <c r="BSQ222" s="18"/>
      <c r="BSR222" s="18"/>
      <c r="BSS222" s="18"/>
      <c r="BST222" s="18"/>
      <c r="BSU222" s="18"/>
      <c r="BSV222" s="18"/>
      <c r="BSW222" s="18"/>
      <c r="BSX222" s="18"/>
      <c r="BSY222" s="18"/>
      <c r="BSZ222" s="18"/>
      <c r="BTA222" s="18"/>
      <c r="BTB222" s="18"/>
      <c r="BTC222" s="18"/>
      <c r="BTD222" s="18"/>
      <c r="BTE222" s="18"/>
      <c r="BTF222" s="18"/>
      <c r="BTG222" s="18"/>
      <c r="BTH222" s="18"/>
      <c r="BTI222" s="18"/>
    </row>
    <row r="223" spans="1:1881" s="426" customFormat="1" ht="110.25" customHeight="1" x14ac:dyDescent="0.3">
      <c r="A223" s="100">
        <v>622</v>
      </c>
      <c r="B223" s="427" t="s">
        <v>324</v>
      </c>
      <c r="C223" s="117" t="s">
        <v>352</v>
      </c>
      <c r="D223" s="116" t="s">
        <v>658</v>
      </c>
      <c r="E223" s="371" t="e">
        <f>INDEX('PY1 Data(H)'!$A$1:$CZ$265,MATCH('Unit Data from Audit Worksheet'!$A223,'PY1 Data(H)'!$A$1:$A$258,0),MATCH('Unit Data from Audit Worksheet'!$D$2,'PY1 Data(H)'!$A$1:$CZ$1,0))</f>
        <v>#N/A</v>
      </c>
      <c r="F223" s="802">
        <v>0</v>
      </c>
      <c r="G223" s="401"/>
      <c r="H223" s="17"/>
      <c r="I223" s="17"/>
      <c r="J223" s="424"/>
      <c r="K223"/>
      <c r="L223" s="547"/>
      <c r="M223"/>
      <c r="N223" s="18"/>
      <c r="O223" s="186"/>
      <c r="P223" s="18"/>
      <c r="Q223" s="18"/>
      <c r="R223" s="18"/>
      <c r="S223" s="18"/>
      <c r="T223" s="18"/>
      <c r="U223" s="18"/>
      <c r="V223" s="18"/>
      <c r="W223" s="18"/>
      <c r="X223" s="18"/>
      <c r="Y223" s="18"/>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c r="MO223" s="18"/>
      <c r="MP223" s="18"/>
      <c r="MQ223" s="18"/>
      <c r="MR223" s="18"/>
      <c r="MS223" s="18"/>
      <c r="MT223" s="18"/>
      <c r="MU223" s="18"/>
      <c r="MV223" s="18"/>
      <c r="MW223" s="18"/>
      <c r="MX223" s="18"/>
      <c r="MY223" s="18"/>
      <c r="MZ223" s="18"/>
      <c r="NA223" s="18"/>
      <c r="NB223" s="18"/>
      <c r="NC223" s="18"/>
      <c r="ND223" s="18"/>
      <c r="NE223" s="18"/>
      <c r="NF223" s="18"/>
      <c r="NG223" s="18"/>
      <c r="NH223" s="18"/>
      <c r="NI223" s="18"/>
      <c r="NJ223" s="18"/>
      <c r="NK223" s="18"/>
      <c r="NL223" s="18"/>
      <c r="NM223" s="18"/>
      <c r="NN223" s="18"/>
      <c r="NO223" s="18"/>
      <c r="NP223" s="18"/>
      <c r="NQ223" s="18"/>
      <c r="NR223" s="18"/>
      <c r="NS223" s="18"/>
      <c r="NT223" s="18"/>
      <c r="NU223" s="18"/>
      <c r="NV223" s="18"/>
      <c r="NW223" s="18"/>
      <c r="NX223" s="18"/>
      <c r="NY223" s="18"/>
      <c r="NZ223" s="18"/>
      <c r="OA223" s="18"/>
      <c r="OB223" s="18"/>
      <c r="OC223" s="18"/>
      <c r="OD223" s="18"/>
      <c r="OE223" s="18"/>
      <c r="OF223" s="18"/>
      <c r="OG223" s="18"/>
      <c r="OH223" s="18"/>
      <c r="OI223" s="18"/>
      <c r="OJ223" s="18"/>
      <c r="OK223" s="18"/>
      <c r="OL223" s="18"/>
      <c r="OM223" s="18"/>
      <c r="ON223" s="18"/>
      <c r="OO223" s="18"/>
      <c r="OP223" s="18"/>
      <c r="OQ223" s="18"/>
      <c r="OR223" s="18"/>
      <c r="OS223" s="18"/>
      <c r="OT223" s="18"/>
      <c r="OU223" s="18"/>
      <c r="OV223" s="18"/>
      <c r="OW223" s="18"/>
      <c r="OX223" s="18"/>
      <c r="OY223" s="18"/>
      <c r="OZ223" s="18"/>
      <c r="PA223" s="18"/>
      <c r="PB223" s="18"/>
      <c r="PC223" s="18"/>
      <c r="PD223" s="18"/>
      <c r="PE223" s="18"/>
      <c r="PF223" s="18"/>
      <c r="PG223" s="18"/>
      <c r="PH223" s="18"/>
      <c r="PI223" s="18"/>
      <c r="PJ223" s="18"/>
      <c r="PK223" s="18"/>
      <c r="PL223" s="18"/>
      <c r="PM223" s="18"/>
      <c r="PN223" s="18"/>
      <c r="PO223" s="18"/>
      <c r="PP223" s="18"/>
      <c r="PQ223" s="18"/>
      <c r="PR223" s="18"/>
      <c r="PS223" s="18"/>
      <c r="PT223" s="18"/>
      <c r="PU223" s="18"/>
      <c r="PV223" s="18"/>
      <c r="PW223" s="18"/>
      <c r="PX223" s="18"/>
      <c r="PY223" s="18"/>
      <c r="PZ223" s="18"/>
      <c r="QA223" s="18"/>
      <c r="QB223" s="18"/>
      <c r="QC223" s="18"/>
      <c r="QD223" s="18"/>
      <c r="QE223" s="18"/>
      <c r="QF223" s="18"/>
      <c r="QG223" s="18"/>
      <c r="QH223" s="18"/>
      <c r="QI223" s="18"/>
      <c r="QJ223" s="18"/>
      <c r="QK223" s="18"/>
      <c r="QL223" s="18"/>
      <c r="QM223" s="18"/>
      <c r="QN223" s="18"/>
      <c r="QO223" s="18"/>
      <c r="QP223" s="18"/>
      <c r="QQ223" s="18"/>
      <c r="QR223" s="18"/>
      <c r="QS223" s="18"/>
      <c r="QT223" s="18"/>
      <c r="QU223" s="18"/>
      <c r="QV223" s="18"/>
      <c r="QW223" s="18"/>
      <c r="QX223" s="18"/>
      <c r="QY223" s="18"/>
      <c r="QZ223" s="18"/>
      <c r="RA223" s="18"/>
      <c r="RB223" s="18"/>
      <c r="RC223" s="18"/>
      <c r="RD223" s="18"/>
      <c r="RE223" s="18"/>
      <c r="RF223" s="18"/>
      <c r="RG223" s="18"/>
      <c r="RH223" s="18"/>
      <c r="RI223" s="18"/>
      <c r="RJ223" s="18"/>
      <c r="RK223" s="18"/>
      <c r="RL223" s="18"/>
      <c r="RM223" s="18"/>
      <c r="RN223" s="18"/>
      <c r="RO223" s="18"/>
      <c r="RP223" s="18"/>
      <c r="RQ223" s="18"/>
      <c r="RR223" s="18"/>
      <c r="RS223" s="18"/>
      <c r="RT223" s="18"/>
      <c r="RU223" s="18"/>
      <c r="RV223" s="18"/>
      <c r="RW223" s="18"/>
      <c r="RX223" s="18"/>
      <c r="RY223" s="18"/>
      <c r="RZ223" s="18"/>
      <c r="SA223" s="18"/>
      <c r="SB223" s="18"/>
      <c r="SC223" s="18"/>
      <c r="SD223" s="18"/>
      <c r="SE223" s="18"/>
      <c r="SF223" s="18"/>
      <c r="SG223" s="18"/>
      <c r="SH223" s="18"/>
      <c r="SI223" s="18"/>
      <c r="SJ223" s="18"/>
      <c r="SK223" s="18"/>
      <c r="SL223" s="18"/>
      <c r="SM223" s="18"/>
      <c r="SN223" s="18"/>
      <c r="SO223" s="18"/>
      <c r="SP223" s="18"/>
      <c r="SQ223" s="18"/>
      <c r="SR223" s="18"/>
      <c r="SS223" s="18"/>
      <c r="ST223" s="18"/>
      <c r="SU223" s="18"/>
      <c r="SV223" s="18"/>
      <c r="SW223" s="18"/>
      <c r="SX223" s="18"/>
      <c r="SY223" s="18"/>
      <c r="SZ223" s="18"/>
      <c r="TA223" s="18"/>
      <c r="TB223" s="18"/>
      <c r="TC223" s="18"/>
      <c r="TD223" s="18"/>
      <c r="TE223" s="18"/>
      <c r="TF223" s="18"/>
      <c r="TG223" s="18"/>
      <c r="TH223" s="18"/>
      <c r="TI223" s="18"/>
      <c r="TJ223" s="18"/>
      <c r="TK223" s="18"/>
      <c r="TL223" s="18"/>
      <c r="TM223" s="18"/>
      <c r="TN223" s="18"/>
      <c r="TO223" s="18"/>
      <c r="TP223" s="18"/>
      <c r="TQ223" s="18"/>
      <c r="TR223" s="18"/>
      <c r="TS223" s="18"/>
      <c r="TT223" s="18"/>
      <c r="TU223" s="18"/>
      <c r="TV223" s="18"/>
      <c r="TW223" s="18"/>
      <c r="TX223" s="18"/>
      <c r="TY223" s="18"/>
      <c r="TZ223" s="18"/>
      <c r="UA223" s="18"/>
      <c r="UB223" s="18"/>
      <c r="UC223" s="18"/>
      <c r="UD223" s="18"/>
      <c r="UE223" s="18"/>
      <c r="UF223" s="18"/>
      <c r="UG223" s="18"/>
      <c r="UH223" s="18"/>
      <c r="UI223" s="18"/>
      <c r="UJ223" s="18"/>
      <c r="UK223" s="18"/>
      <c r="UL223" s="18"/>
      <c r="UM223" s="18"/>
      <c r="UN223" s="18"/>
      <c r="UO223" s="18"/>
      <c r="UP223" s="18"/>
      <c r="UQ223" s="18"/>
      <c r="UR223" s="18"/>
      <c r="US223" s="18"/>
      <c r="UT223" s="18"/>
      <c r="UU223" s="18"/>
      <c r="UV223" s="18"/>
      <c r="UW223" s="18"/>
      <c r="UX223" s="18"/>
      <c r="UY223" s="18"/>
      <c r="UZ223" s="18"/>
      <c r="VA223" s="18"/>
      <c r="VB223" s="18"/>
      <c r="VC223" s="18"/>
      <c r="VD223" s="18"/>
      <c r="VE223" s="18"/>
      <c r="VF223" s="18"/>
      <c r="VG223" s="18"/>
      <c r="VH223" s="18"/>
      <c r="VI223" s="18"/>
      <c r="VJ223" s="18"/>
      <c r="VK223" s="18"/>
      <c r="VL223" s="18"/>
      <c r="VM223" s="18"/>
      <c r="VN223" s="18"/>
      <c r="VO223" s="18"/>
      <c r="VP223" s="18"/>
      <c r="VQ223" s="18"/>
      <c r="VR223" s="18"/>
      <c r="VS223" s="18"/>
      <c r="VT223" s="18"/>
      <c r="VU223" s="18"/>
      <c r="VV223" s="18"/>
      <c r="VW223" s="18"/>
      <c r="VX223" s="18"/>
      <c r="VY223" s="18"/>
      <c r="VZ223" s="18"/>
      <c r="WA223" s="18"/>
      <c r="WB223" s="18"/>
      <c r="WC223" s="18"/>
      <c r="WD223" s="18"/>
      <c r="WE223" s="18"/>
      <c r="WF223" s="18"/>
      <c r="WG223" s="18"/>
      <c r="WH223" s="18"/>
      <c r="WI223" s="18"/>
      <c r="WJ223" s="18"/>
      <c r="WK223" s="18"/>
      <c r="WL223" s="18"/>
      <c r="WM223" s="18"/>
      <c r="WN223" s="18"/>
      <c r="WO223" s="18"/>
      <c r="WP223" s="18"/>
      <c r="WQ223" s="18"/>
      <c r="WR223" s="18"/>
      <c r="WS223" s="18"/>
      <c r="WT223" s="18"/>
      <c r="WU223" s="18"/>
      <c r="WV223" s="18"/>
      <c r="WW223" s="18"/>
      <c r="WX223" s="18"/>
      <c r="WY223" s="18"/>
      <c r="WZ223" s="18"/>
      <c r="XA223" s="18"/>
      <c r="XB223" s="18"/>
      <c r="XC223" s="18"/>
      <c r="XD223" s="18"/>
      <c r="XE223" s="18"/>
      <c r="XF223" s="18"/>
      <c r="XG223" s="18"/>
      <c r="XH223" s="18"/>
      <c r="XI223" s="18"/>
      <c r="XJ223" s="18"/>
      <c r="XK223" s="18"/>
      <c r="XL223" s="18"/>
      <c r="XM223" s="18"/>
      <c r="XN223" s="18"/>
      <c r="XO223" s="18"/>
      <c r="XP223" s="18"/>
      <c r="XQ223" s="18"/>
      <c r="XR223" s="18"/>
      <c r="XS223" s="18"/>
      <c r="XT223" s="18"/>
      <c r="XU223" s="18"/>
      <c r="XV223" s="18"/>
      <c r="XW223" s="18"/>
      <c r="XX223" s="18"/>
      <c r="XY223" s="18"/>
      <c r="XZ223" s="18"/>
      <c r="YA223" s="18"/>
      <c r="YB223" s="18"/>
      <c r="YC223" s="18"/>
      <c r="YD223" s="18"/>
      <c r="YE223" s="18"/>
      <c r="YF223" s="18"/>
      <c r="YG223" s="18"/>
      <c r="YH223" s="18"/>
      <c r="YI223" s="18"/>
      <c r="YJ223" s="18"/>
      <c r="YK223" s="18"/>
      <c r="YL223" s="18"/>
      <c r="YM223" s="18"/>
      <c r="YN223" s="18"/>
      <c r="YO223" s="18"/>
      <c r="YP223" s="18"/>
      <c r="YQ223" s="18"/>
      <c r="YR223" s="18"/>
      <c r="YS223" s="18"/>
      <c r="YT223" s="18"/>
      <c r="YU223" s="18"/>
      <c r="YV223" s="18"/>
      <c r="YW223" s="18"/>
      <c r="YX223" s="18"/>
      <c r="YY223" s="18"/>
      <c r="YZ223" s="18"/>
      <c r="ZA223" s="18"/>
      <c r="ZB223" s="18"/>
      <c r="ZC223" s="18"/>
      <c r="ZD223" s="18"/>
      <c r="ZE223" s="18"/>
      <c r="ZF223" s="18"/>
      <c r="ZG223" s="18"/>
      <c r="ZH223" s="18"/>
      <c r="ZI223" s="18"/>
      <c r="ZJ223" s="18"/>
      <c r="ZK223" s="18"/>
      <c r="ZL223" s="18"/>
      <c r="ZM223" s="18"/>
      <c r="ZN223" s="18"/>
      <c r="ZO223" s="18"/>
      <c r="ZP223" s="18"/>
      <c r="ZQ223" s="18"/>
      <c r="ZR223" s="18"/>
      <c r="ZS223" s="18"/>
      <c r="ZT223" s="18"/>
      <c r="ZU223" s="18"/>
      <c r="ZV223" s="18"/>
      <c r="ZW223" s="18"/>
      <c r="ZX223" s="18"/>
      <c r="ZY223" s="18"/>
      <c r="ZZ223" s="18"/>
      <c r="AAA223" s="18"/>
      <c r="AAB223" s="18"/>
      <c r="AAC223" s="18"/>
      <c r="AAD223" s="18"/>
      <c r="AAE223" s="18"/>
      <c r="AAF223" s="18"/>
      <c r="AAG223" s="18"/>
      <c r="AAH223" s="18"/>
      <c r="AAI223" s="18"/>
      <c r="AAJ223" s="18"/>
      <c r="AAK223" s="18"/>
      <c r="AAL223" s="18"/>
      <c r="AAM223" s="18"/>
      <c r="AAN223" s="18"/>
      <c r="AAO223" s="18"/>
      <c r="AAP223" s="18"/>
      <c r="AAQ223" s="18"/>
      <c r="AAR223" s="18"/>
      <c r="AAS223" s="18"/>
      <c r="AAT223" s="18"/>
      <c r="AAU223" s="18"/>
      <c r="AAV223" s="18"/>
      <c r="AAW223" s="18"/>
      <c r="AAX223" s="18"/>
      <c r="AAY223" s="18"/>
      <c r="AAZ223" s="18"/>
      <c r="ABA223" s="18"/>
      <c r="ABB223" s="18"/>
      <c r="ABC223" s="18"/>
      <c r="ABD223" s="18"/>
      <c r="ABE223" s="18"/>
      <c r="ABF223" s="18"/>
      <c r="ABG223" s="18"/>
      <c r="ABH223" s="18"/>
      <c r="ABI223" s="18"/>
      <c r="ABJ223" s="18"/>
      <c r="ABK223" s="18"/>
      <c r="ABL223" s="18"/>
      <c r="ABM223" s="18"/>
      <c r="ABN223" s="18"/>
      <c r="ABO223" s="18"/>
      <c r="ABP223" s="18"/>
      <c r="ABQ223" s="18"/>
      <c r="ABR223" s="18"/>
      <c r="ABS223" s="18"/>
      <c r="ABT223" s="18"/>
      <c r="ABU223" s="18"/>
      <c r="ABV223" s="18"/>
      <c r="ABW223" s="18"/>
      <c r="ABX223" s="18"/>
      <c r="ABY223" s="18"/>
      <c r="ABZ223" s="18"/>
      <c r="ACA223" s="18"/>
      <c r="ACB223" s="18"/>
      <c r="ACC223" s="18"/>
      <c r="ACD223" s="18"/>
      <c r="ACE223" s="18"/>
      <c r="ACF223" s="18"/>
      <c r="ACG223" s="18"/>
      <c r="ACH223" s="18"/>
      <c r="ACI223" s="18"/>
      <c r="ACJ223" s="18"/>
      <c r="ACK223" s="18"/>
      <c r="ACL223" s="18"/>
      <c r="ACM223" s="18"/>
      <c r="ACN223" s="18"/>
      <c r="ACO223" s="18"/>
      <c r="ACP223" s="18"/>
      <c r="ACQ223" s="18"/>
      <c r="ACR223" s="18"/>
      <c r="ACS223" s="18"/>
      <c r="ACT223" s="18"/>
      <c r="ACU223" s="18"/>
      <c r="ACV223" s="18"/>
      <c r="ACW223" s="18"/>
      <c r="ACX223" s="18"/>
      <c r="ACY223" s="18"/>
      <c r="ACZ223" s="18"/>
      <c r="ADA223" s="18"/>
      <c r="ADB223" s="18"/>
      <c r="ADC223" s="18"/>
      <c r="ADD223" s="18"/>
      <c r="ADE223" s="18"/>
      <c r="ADF223" s="18"/>
      <c r="ADG223" s="18"/>
      <c r="ADH223" s="18"/>
      <c r="ADI223" s="18"/>
      <c r="ADJ223" s="18"/>
      <c r="ADK223" s="18"/>
      <c r="ADL223" s="18"/>
      <c r="ADM223" s="18"/>
      <c r="ADN223" s="18"/>
      <c r="ADO223" s="18"/>
      <c r="ADP223" s="18"/>
      <c r="ADQ223" s="18"/>
      <c r="ADR223" s="18"/>
      <c r="ADS223" s="18"/>
      <c r="ADT223" s="18"/>
      <c r="ADU223" s="18"/>
      <c r="ADV223" s="18"/>
      <c r="ADW223" s="18"/>
      <c r="ADX223" s="18"/>
      <c r="ADY223" s="18"/>
      <c r="ADZ223" s="18"/>
      <c r="AEA223" s="18"/>
      <c r="AEB223" s="18"/>
      <c r="AEC223" s="18"/>
      <c r="AED223" s="18"/>
      <c r="AEE223" s="18"/>
      <c r="AEF223" s="18"/>
      <c r="AEG223" s="18"/>
      <c r="AEH223" s="18"/>
      <c r="AEI223" s="18"/>
      <c r="AEJ223" s="18"/>
      <c r="AEK223" s="18"/>
      <c r="AEL223" s="18"/>
      <c r="AEM223" s="18"/>
      <c r="AEN223" s="18"/>
      <c r="AEO223" s="18"/>
      <c r="AEP223" s="18"/>
      <c r="AEQ223" s="18"/>
      <c r="AER223" s="18"/>
      <c r="AES223" s="18"/>
      <c r="AET223" s="18"/>
      <c r="AEU223" s="18"/>
      <c r="AEV223" s="18"/>
      <c r="AEW223" s="18"/>
      <c r="AEX223" s="18"/>
      <c r="AEY223" s="18"/>
      <c r="AEZ223" s="18"/>
      <c r="AFA223" s="18"/>
      <c r="AFB223" s="18"/>
      <c r="AFC223" s="18"/>
      <c r="AFD223" s="18"/>
      <c r="AFE223" s="18"/>
      <c r="AFF223" s="18"/>
      <c r="AFG223" s="18"/>
      <c r="AFH223" s="18"/>
      <c r="AFI223" s="18"/>
      <c r="AFJ223" s="18"/>
      <c r="AFK223" s="18"/>
      <c r="AFL223" s="18"/>
      <c r="AFM223" s="18"/>
      <c r="AFN223" s="18"/>
      <c r="AFO223" s="18"/>
      <c r="AFP223" s="18"/>
      <c r="AFQ223" s="18"/>
      <c r="AFR223" s="18"/>
      <c r="AFS223" s="18"/>
      <c r="AFT223" s="18"/>
      <c r="AFU223" s="18"/>
      <c r="AFV223" s="18"/>
      <c r="AFW223" s="18"/>
      <c r="AFX223" s="18"/>
      <c r="AFY223" s="18"/>
      <c r="AFZ223" s="18"/>
      <c r="AGA223" s="18"/>
      <c r="AGB223" s="18"/>
      <c r="AGC223" s="18"/>
      <c r="AGD223" s="18"/>
      <c r="AGE223" s="18"/>
      <c r="AGF223" s="18"/>
      <c r="AGG223" s="18"/>
      <c r="AGH223" s="18"/>
      <c r="AGI223" s="18"/>
      <c r="AGJ223" s="18"/>
      <c r="AGK223" s="18"/>
      <c r="AGL223" s="18"/>
      <c r="AGM223" s="18"/>
      <c r="AGN223" s="18"/>
      <c r="AGO223" s="18"/>
      <c r="AGP223" s="18"/>
      <c r="AGQ223" s="18"/>
      <c r="AGR223" s="18"/>
      <c r="AGS223" s="18"/>
      <c r="AGT223" s="18"/>
      <c r="AGU223" s="18"/>
      <c r="AGV223" s="18"/>
      <c r="AGW223" s="18"/>
      <c r="AGX223" s="18"/>
      <c r="AGY223" s="18"/>
      <c r="AGZ223" s="18"/>
      <c r="AHA223" s="18"/>
      <c r="AHB223" s="18"/>
      <c r="AHC223" s="18"/>
      <c r="AHD223" s="18"/>
      <c r="AHE223" s="18"/>
      <c r="AHF223" s="18"/>
      <c r="AHG223" s="18"/>
      <c r="AHH223" s="18"/>
      <c r="AHI223" s="18"/>
      <c r="AHJ223" s="18"/>
      <c r="AHK223" s="18"/>
      <c r="AHL223" s="18"/>
      <c r="AHM223" s="18"/>
      <c r="AHN223" s="18"/>
      <c r="AHO223" s="18"/>
      <c r="AHP223" s="18"/>
      <c r="AHQ223" s="18"/>
      <c r="AHR223" s="18"/>
      <c r="AHS223" s="18"/>
      <c r="AHT223" s="18"/>
      <c r="AHU223" s="18"/>
      <c r="AHV223" s="18"/>
      <c r="AHW223" s="18"/>
      <c r="AHX223" s="18"/>
      <c r="AHY223" s="18"/>
      <c r="AHZ223" s="18"/>
      <c r="AIA223" s="18"/>
      <c r="AIB223" s="18"/>
      <c r="AIC223" s="18"/>
      <c r="AID223" s="18"/>
      <c r="AIE223" s="18"/>
      <c r="AIF223" s="18"/>
      <c r="AIG223" s="18"/>
      <c r="AIH223" s="18"/>
      <c r="AII223" s="18"/>
      <c r="AIJ223" s="18"/>
      <c r="AIK223" s="18"/>
      <c r="AIL223" s="18"/>
      <c r="AIM223" s="18"/>
      <c r="AIN223" s="18"/>
      <c r="AIO223" s="18"/>
      <c r="AIP223" s="18"/>
      <c r="AIQ223" s="18"/>
      <c r="AIR223" s="18"/>
      <c r="AIS223" s="18"/>
      <c r="AIT223" s="18"/>
      <c r="AIU223" s="18"/>
      <c r="AIV223" s="18"/>
      <c r="AIW223" s="18"/>
      <c r="AIX223" s="18"/>
      <c r="AIY223" s="18"/>
      <c r="AIZ223" s="18"/>
      <c r="AJA223" s="18"/>
      <c r="AJB223" s="18"/>
      <c r="AJC223" s="18"/>
      <c r="AJD223" s="18"/>
      <c r="AJE223" s="18"/>
      <c r="AJF223" s="18"/>
      <c r="AJG223" s="18"/>
      <c r="AJH223" s="18"/>
      <c r="AJI223" s="18"/>
      <c r="AJJ223" s="18"/>
      <c r="AJK223" s="18"/>
      <c r="AJL223" s="18"/>
      <c r="AJM223" s="18"/>
      <c r="AJN223" s="18"/>
      <c r="AJO223" s="18"/>
      <c r="AJP223" s="18"/>
      <c r="AJQ223" s="18"/>
      <c r="AJR223" s="18"/>
      <c r="AJS223" s="18"/>
      <c r="AJT223" s="18"/>
      <c r="AJU223" s="18"/>
      <c r="AJV223" s="18"/>
      <c r="AJW223" s="18"/>
      <c r="AJX223" s="18"/>
      <c r="AJY223" s="18"/>
      <c r="AJZ223" s="18"/>
      <c r="AKA223" s="18"/>
      <c r="AKB223" s="18"/>
      <c r="AKC223" s="18"/>
      <c r="AKD223" s="18"/>
      <c r="AKE223" s="18"/>
      <c r="AKF223" s="18"/>
      <c r="AKG223" s="18"/>
      <c r="AKH223" s="18"/>
      <c r="AKI223" s="18"/>
      <c r="AKJ223" s="18"/>
      <c r="AKK223" s="18"/>
      <c r="AKL223" s="18"/>
      <c r="AKM223" s="18"/>
      <c r="AKN223" s="18"/>
      <c r="AKO223" s="18"/>
      <c r="AKP223" s="18"/>
      <c r="AKQ223" s="18"/>
      <c r="AKR223" s="18"/>
      <c r="AKS223" s="18"/>
      <c r="AKT223" s="18"/>
      <c r="AKU223" s="18"/>
      <c r="AKV223" s="18"/>
      <c r="AKW223" s="18"/>
      <c r="AKX223" s="18"/>
      <c r="AKY223" s="18"/>
      <c r="AKZ223" s="18"/>
      <c r="ALA223" s="18"/>
      <c r="ALB223" s="18"/>
      <c r="ALC223" s="18"/>
      <c r="ALD223" s="18"/>
      <c r="ALE223" s="18"/>
      <c r="ALF223" s="18"/>
      <c r="ALG223" s="18"/>
      <c r="ALH223" s="18"/>
      <c r="ALI223" s="18"/>
      <c r="ALJ223" s="18"/>
      <c r="ALK223" s="18"/>
      <c r="ALL223" s="18"/>
      <c r="ALM223" s="18"/>
      <c r="ALN223" s="18"/>
      <c r="ALO223" s="18"/>
      <c r="ALP223" s="18"/>
      <c r="ALQ223" s="18"/>
      <c r="ALR223" s="18"/>
      <c r="ALS223" s="18"/>
      <c r="ALT223" s="18"/>
      <c r="ALU223" s="18"/>
      <c r="ALV223" s="18"/>
      <c r="ALW223" s="18"/>
      <c r="ALX223" s="18"/>
      <c r="ALY223" s="18"/>
      <c r="ALZ223" s="18"/>
      <c r="AMA223" s="18"/>
      <c r="AMB223" s="18"/>
      <c r="AMC223" s="18"/>
      <c r="AMD223" s="18"/>
      <c r="AME223" s="18"/>
      <c r="AMF223" s="18"/>
      <c r="AMG223" s="18"/>
      <c r="AMH223" s="18"/>
      <c r="AMI223" s="18"/>
      <c r="AMJ223" s="18"/>
      <c r="AMK223" s="18"/>
      <c r="AML223" s="18"/>
      <c r="AMM223" s="18"/>
      <c r="AMN223" s="18"/>
      <c r="AMO223" s="18"/>
      <c r="AMP223" s="18"/>
      <c r="AMQ223" s="18"/>
      <c r="AMR223" s="18"/>
      <c r="AMS223" s="18"/>
      <c r="AMT223" s="18"/>
      <c r="AMU223" s="18"/>
      <c r="AMV223" s="18"/>
      <c r="AMW223" s="18"/>
      <c r="AMX223" s="18"/>
      <c r="AMY223" s="18"/>
      <c r="AMZ223" s="18"/>
      <c r="ANA223" s="18"/>
      <c r="ANB223" s="18"/>
      <c r="ANC223" s="18"/>
      <c r="AND223" s="18"/>
      <c r="ANE223" s="18"/>
      <c r="ANF223" s="18"/>
      <c r="ANG223" s="18"/>
      <c r="ANH223" s="18"/>
      <c r="ANI223" s="18"/>
      <c r="ANJ223" s="18"/>
      <c r="ANK223" s="18"/>
      <c r="ANL223" s="18"/>
      <c r="ANM223" s="18"/>
      <c r="ANN223" s="18"/>
      <c r="ANO223" s="18"/>
      <c r="ANP223" s="18"/>
      <c r="ANQ223" s="18"/>
      <c r="ANR223" s="18"/>
      <c r="ANS223" s="18"/>
      <c r="ANT223" s="18"/>
      <c r="ANU223" s="18"/>
      <c r="ANV223" s="18"/>
      <c r="ANW223" s="18"/>
      <c r="ANX223" s="18"/>
      <c r="ANY223" s="18"/>
      <c r="ANZ223" s="18"/>
      <c r="AOA223" s="18"/>
      <c r="AOB223" s="18"/>
      <c r="AOC223" s="18"/>
      <c r="AOD223" s="18"/>
      <c r="AOE223" s="18"/>
      <c r="AOF223" s="18"/>
      <c r="AOG223" s="18"/>
      <c r="AOH223" s="18"/>
      <c r="AOI223" s="18"/>
      <c r="AOJ223" s="18"/>
      <c r="AOK223" s="18"/>
      <c r="AOL223" s="18"/>
      <c r="AOM223" s="18"/>
      <c r="AON223" s="18"/>
      <c r="AOO223" s="18"/>
      <c r="AOP223" s="18"/>
      <c r="AOQ223" s="18"/>
      <c r="AOR223" s="18"/>
      <c r="AOS223" s="18"/>
      <c r="AOT223" s="18"/>
      <c r="AOU223" s="18"/>
      <c r="AOV223" s="18"/>
      <c r="AOW223" s="18"/>
      <c r="AOX223" s="18"/>
      <c r="AOY223" s="18"/>
      <c r="AOZ223" s="18"/>
      <c r="APA223" s="18"/>
      <c r="APB223" s="18"/>
      <c r="APC223" s="18"/>
      <c r="APD223" s="18"/>
      <c r="APE223" s="18"/>
      <c r="APF223" s="18"/>
      <c r="APG223" s="18"/>
      <c r="APH223" s="18"/>
      <c r="API223" s="18"/>
      <c r="APJ223" s="18"/>
      <c r="APK223" s="18"/>
      <c r="APL223" s="18"/>
      <c r="APM223" s="18"/>
      <c r="APN223" s="18"/>
      <c r="APO223" s="18"/>
      <c r="APP223" s="18"/>
      <c r="APQ223" s="18"/>
      <c r="APR223" s="18"/>
      <c r="APS223" s="18"/>
      <c r="APT223" s="18"/>
      <c r="APU223" s="18"/>
      <c r="APV223" s="18"/>
      <c r="APW223" s="18"/>
      <c r="APX223" s="18"/>
      <c r="APY223" s="18"/>
      <c r="APZ223" s="18"/>
      <c r="AQA223" s="18"/>
      <c r="AQB223" s="18"/>
      <c r="AQC223" s="18"/>
      <c r="AQD223" s="18"/>
      <c r="AQE223" s="18"/>
      <c r="AQF223" s="18"/>
      <c r="AQG223" s="18"/>
      <c r="AQH223" s="18"/>
      <c r="AQI223" s="18"/>
      <c r="AQJ223" s="18"/>
      <c r="AQK223" s="18"/>
      <c r="AQL223" s="18"/>
      <c r="AQM223" s="18"/>
      <c r="AQN223" s="18"/>
      <c r="AQO223" s="18"/>
      <c r="AQP223" s="18"/>
      <c r="AQQ223" s="18"/>
      <c r="AQR223" s="18"/>
      <c r="AQS223" s="18"/>
      <c r="AQT223" s="18"/>
      <c r="AQU223" s="18"/>
      <c r="AQV223" s="18"/>
      <c r="AQW223" s="18"/>
      <c r="AQX223" s="18"/>
      <c r="AQY223" s="18"/>
      <c r="AQZ223" s="18"/>
      <c r="ARA223" s="18"/>
      <c r="ARB223" s="18"/>
      <c r="ARC223" s="18"/>
      <c r="ARD223" s="18"/>
      <c r="ARE223" s="18"/>
      <c r="ARF223" s="18"/>
      <c r="ARG223" s="18"/>
      <c r="ARH223" s="18"/>
      <c r="ARI223" s="18"/>
      <c r="ARJ223" s="18"/>
      <c r="ARK223" s="18"/>
      <c r="ARL223" s="18"/>
      <c r="ARM223" s="18"/>
      <c r="ARN223" s="18"/>
      <c r="ARO223" s="18"/>
      <c r="ARP223" s="18"/>
      <c r="ARQ223" s="18"/>
      <c r="ARR223" s="18"/>
      <c r="ARS223" s="18"/>
      <c r="ART223" s="18"/>
      <c r="ARU223" s="18"/>
      <c r="ARV223" s="18"/>
      <c r="ARW223" s="18"/>
      <c r="ARX223" s="18"/>
      <c r="ARY223" s="18"/>
      <c r="ARZ223" s="18"/>
      <c r="ASA223" s="18"/>
      <c r="ASB223" s="18"/>
      <c r="ASC223" s="18"/>
      <c r="ASD223" s="18"/>
      <c r="ASE223" s="18"/>
      <c r="ASF223" s="18"/>
      <c r="ASG223" s="18"/>
      <c r="ASH223" s="18"/>
      <c r="ASI223" s="18"/>
      <c r="ASJ223" s="18"/>
      <c r="ASK223" s="18"/>
      <c r="ASL223" s="18"/>
      <c r="ASM223" s="18"/>
      <c r="ASN223" s="18"/>
      <c r="ASO223" s="18"/>
      <c r="ASP223" s="18"/>
      <c r="ASQ223" s="18"/>
      <c r="ASR223" s="18"/>
      <c r="ASS223" s="18"/>
      <c r="AST223" s="18"/>
      <c r="ASU223" s="18"/>
      <c r="ASV223" s="18"/>
      <c r="ASW223" s="18"/>
      <c r="ASX223" s="18"/>
      <c r="ASY223" s="18"/>
      <c r="ASZ223" s="18"/>
      <c r="ATA223" s="18"/>
      <c r="ATB223" s="18"/>
      <c r="ATC223" s="18"/>
      <c r="ATD223" s="18"/>
      <c r="ATE223" s="18"/>
      <c r="ATF223" s="18"/>
      <c r="ATG223" s="18"/>
      <c r="ATH223" s="18"/>
      <c r="ATI223" s="18"/>
      <c r="ATJ223" s="18"/>
      <c r="ATK223" s="18"/>
      <c r="ATL223" s="18"/>
      <c r="ATM223" s="18"/>
      <c r="ATN223" s="18"/>
      <c r="ATO223" s="18"/>
      <c r="ATP223" s="18"/>
      <c r="ATQ223" s="18"/>
      <c r="ATR223" s="18"/>
      <c r="ATS223" s="18"/>
      <c r="ATT223" s="18"/>
      <c r="ATU223" s="18"/>
      <c r="ATV223" s="18"/>
      <c r="ATW223" s="18"/>
      <c r="ATX223" s="18"/>
      <c r="ATY223" s="18"/>
      <c r="ATZ223" s="18"/>
      <c r="AUA223" s="18"/>
      <c r="AUB223" s="18"/>
      <c r="AUC223" s="18"/>
      <c r="AUD223" s="18"/>
      <c r="AUE223" s="18"/>
      <c r="AUF223" s="18"/>
      <c r="AUG223" s="18"/>
      <c r="AUH223" s="18"/>
      <c r="AUI223" s="18"/>
      <c r="AUJ223" s="18"/>
      <c r="AUK223" s="18"/>
      <c r="AUL223" s="18"/>
      <c r="AUM223" s="18"/>
      <c r="AUN223" s="18"/>
      <c r="AUO223" s="18"/>
      <c r="AUP223" s="18"/>
      <c r="AUQ223" s="18"/>
      <c r="AUR223" s="18"/>
      <c r="AUS223" s="18"/>
      <c r="AUT223" s="18"/>
      <c r="AUU223" s="18"/>
      <c r="AUV223" s="18"/>
      <c r="AUW223" s="18"/>
      <c r="AUX223" s="18"/>
      <c r="AUY223" s="18"/>
      <c r="AUZ223" s="18"/>
      <c r="AVA223" s="18"/>
      <c r="AVB223" s="18"/>
      <c r="AVC223" s="18"/>
      <c r="AVD223" s="18"/>
      <c r="AVE223" s="18"/>
      <c r="AVF223" s="18"/>
      <c r="AVG223" s="18"/>
      <c r="AVH223" s="18"/>
      <c r="AVI223" s="18"/>
      <c r="AVJ223" s="18"/>
      <c r="AVK223" s="18"/>
      <c r="AVL223" s="18"/>
      <c r="AVM223" s="18"/>
      <c r="AVN223" s="18"/>
      <c r="AVO223" s="18"/>
      <c r="AVP223" s="18"/>
      <c r="AVQ223" s="18"/>
      <c r="AVR223" s="18"/>
      <c r="AVS223" s="18"/>
      <c r="AVT223" s="18"/>
      <c r="AVU223" s="18"/>
      <c r="AVV223" s="18"/>
      <c r="AVW223" s="18"/>
      <c r="AVX223" s="18"/>
      <c r="AVY223" s="18"/>
      <c r="AVZ223" s="18"/>
      <c r="AWA223" s="18"/>
      <c r="AWB223" s="18"/>
      <c r="AWC223" s="18"/>
      <c r="AWD223" s="18"/>
      <c r="AWE223" s="18"/>
      <c r="AWF223" s="18"/>
      <c r="AWG223" s="18"/>
      <c r="AWH223" s="18"/>
      <c r="AWI223" s="18"/>
      <c r="AWJ223" s="18"/>
      <c r="AWK223" s="18"/>
      <c r="AWL223" s="18"/>
      <c r="AWM223" s="18"/>
      <c r="AWN223" s="18"/>
      <c r="AWO223" s="18"/>
      <c r="AWP223" s="18"/>
      <c r="AWQ223" s="18"/>
      <c r="AWR223" s="18"/>
      <c r="AWS223" s="18"/>
      <c r="AWT223" s="18"/>
      <c r="AWU223" s="18"/>
      <c r="AWV223" s="18"/>
      <c r="AWW223" s="18"/>
      <c r="AWX223" s="18"/>
      <c r="AWY223" s="18"/>
      <c r="AWZ223" s="18"/>
      <c r="AXA223" s="18"/>
      <c r="AXB223" s="18"/>
      <c r="AXC223" s="18"/>
      <c r="AXD223" s="18"/>
      <c r="AXE223" s="18"/>
      <c r="AXF223" s="18"/>
      <c r="AXG223" s="18"/>
      <c r="AXH223" s="18"/>
      <c r="AXI223" s="18"/>
      <c r="AXJ223" s="18"/>
      <c r="AXK223" s="18"/>
      <c r="AXL223" s="18"/>
      <c r="AXM223" s="18"/>
      <c r="AXN223" s="18"/>
      <c r="AXO223" s="18"/>
      <c r="AXP223" s="18"/>
      <c r="AXQ223" s="18"/>
      <c r="AXR223" s="18"/>
      <c r="AXS223" s="18"/>
      <c r="AXT223" s="18"/>
      <c r="AXU223" s="18"/>
      <c r="AXV223" s="18"/>
      <c r="AXW223" s="18"/>
      <c r="AXX223" s="18"/>
      <c r="AXY223" s="18"/>
      <c r="AXZ223" s="18"/>
      <c r="AYA223" s="18"/>
      <c r="AYB223" s="18"/>
      <c r="AYC223" s="18"/>
      <c r="AYD223" s="18"/>
      <c r="AYE223" s="18"/>
      <c r="AYF223" s="18"/>
      <c r="AYG223" s="18"/>
      <c r="AYH223" s="18"/>
      <c r="AYI223" s="18"/>
      <c r="AYJ223" s="18"/>
      <c r="AYK223" s="18"/>
      <c r="AYL223" s="18"/>
      <c r="AYM223" s="18"/>
      <c r="AYN223" s="18"/>
      <c r="AYO223" s="18"/>
      <c r="AYP223" s="18"/>
      <c r="AYQ223" s="18"/>
      <c r="AYR223" s="18"/>
      <c r="AYS223" s="18"/>
      <c r="AYT223" s="18"/>
      <c r="AYU223" s="18"/>
      <c r="AYV223" s="18"/>
      <c r="AYW223" s="18"/>
      <c r="AYX223" s="18"/>
      <c r="AYY223" s="18"/>
      <c r="AYZ223" s="18"/>
      <c r="AZA223" s="18"/>
      <c r="AZB223" s="18"/>
      <c r="AZC223" s="18"/>
      <c r="AZD223" s="18"/>
      <c r="AZE223" s="18"/>
      <c r="AZF223" s="18"/>
      <c r="AZG223" s="18"/>
      <c r="AZH223" s="18"/>
      <c r="AZI223" s="18"/>
      <c r="AZJ223" s="18"/>
      <c r="AZK223" s="18"/>
      <c r="AZL223" s="18"/>
      <c r="AZM223" s="18"/>
      <c r="AZN223" s="18"/>
      <c r="AZO223" s="18"/>
      <c r="AZP223" s="18"/>
      <c r="AZQ223" s="18"/>
      <c r="AZR223" s="18"/>
      <c r="AZS223" s="18"/>
      <c r="AZT223" s="18"/>
      <c r="AZU223" s="18"/>
      <c r="AZV223" s="18"/>
      <c r="AZW223" s="18"/>
      <c r="AZX223" s="18"/>
      <c r="AZY223" s="18"/>
      <c r="AZZ223" s="18"/>
      <c r="BAA223" s="18"/>
      <c r="BAB223" s="18"/>
      <c r="BAC223" s="18"/>
      <c r="BAD223" s="18"/>
      <c r="BAE223" s="18"/>
      <c r="BAF223" s="18"/>
      <c r="BAG223" s="18"/>
      <c r="BAH223" s="18"/>
      <c r="BAI223" s="18"/>
      <c r="BAJ223" s="18"/>
      <c r="BAK223" s="18"/>
      <c r="BAL223" s="18"/>
      <c r="BAM223" s="18"/>
      <c r="BAN223" s="18"/>
      <c r="BAO223" s="18"/>
      <c r="BAP223" s="18"/>
      <c r="BAQ223" s="18"/>
      <c r="BAR223" s="18"/>
      <c r="BAS223" s="18"/>
      <c r="BAT223" s="18"/>
      <c r="BAU223" s="18"/>
      <c r="BAV223" s="18"/>
      <c r="BAW223" s="18"/>
      <c r="BAX223" s="18"/>
      <c r="BAY223" s="18"/>
      <c r="BAZ223" s="18"/>
      <c r="BBA223" s="18"/>
      <c r="BBB223" s="18"/>
      <c r="BBC223" s="18"/>
      <c r="BBD223" s="18"/>
      <c r="BBE223" s="18"/>
      <c r="BBF223" s="18"/>
      <c r="BBG223" s="18"/>
      <c r="BBH223" s="18"/>
      <c r="BBI223" s="18"/>
      <c r="BBJ223" s="18"/>
      <c r="BBK223" s="18"/>
      <c r="BBL223" s="18"/>
      <c r="BBM223" s="18"/>
      <c r="BBN223" s="18"/>
      <c r="BBO223" s="18"/>
      <c r="BBP223" s="18"/>
      <c r="BBQ223" s="18"/>
      <c r="BBR223" s="18"/>
      <c r="BBS223" s="18"/>
      <c r="BBT223" s="18"/>
      <c r="BBU223" s="18"/>
      <c r="BBV223" s="18"/>
      <c r="BBW223" s="18"/>
      <c r="BBX223" s="18"/>
      <c r="BBY223" s="18"/>
      <c r="BBZ223" s="18"/>
      <c r="BCA223" s="18"/>
      <c r="BCB223" s="18"/>
      <c r="BCC223" s="18"/>
      <c r="BCD223" s="18"/>
      <c r="BCE223" s="18"/>
      <c r="BCF223" s="18"/>
      <c r="BCG223" s="18"/>
      <c r="BCH223" s="18"/>
      <c r="BCI223" s="18"/>
      <c r="BCJ223" s="18"/>
      <c r="BCK223" s="18"/>
      <c r="BCL223" s="18"/>
      <c r="BCM223" s="18"/>
      <c r="BCN223" s="18"/>
      <c r="BCO223" s="18"/>
      <c r="BCP223" s="18"/>
      <c r="BCQ223" s="18"/>
      <c r="BCR223" s="18"/>
      <c r="BCS223" s="18"/>
      <c r="BCT223" s="18"/>
      <c r="BCU223" s="18"/>
      <c r="BCV223" s="18"/>
      <c r="BCW223" s="18"/>
      <c r="BCX223" s="18"/>
      <c r="BCY223" s="18"/>
      <c r="BCZ223" s="18"/>
      <c r="BDA223" s="18"/>
      <c r="BDB223" s="18"/>
      <c r="BDC223" s="18"/>
      <c r="BDD223" s="18"/>
      <c r="BDE223" s="18"/>
      <c r="BDF223" s="18"/>
      <c r="BDG223" s="18"/>
      <c r="BDH223" s="18"/>
      <c r="BDI223" s="18"/>
      <c r="BDJ223" s="18"/>
      <c r="BDK223" s="18"/>
      <c r="BDL223" s="18"/>
      <c r="BDM223" s="18"/>
      <c r="BDN223" s="18"/>
      <c r="BDO223" s="18"/>
      <c r="BDP223" s="18"/>
      <c r="BDQ223" s="18"/>
      <c r="BDR223" s="18"/>
      <c r="BDS223" s="18"/>
      <c r="BDT223" s="18"/>
      <c r="BDU223" s="18"/>
      <c r="BDV223" s="18"/>
      <c r="BDW223" s="18"/>
      <c r="BDX223" s="18"/>
      <c r="BDY223" s="18"/>
      <c r="BDZ223" s="18"/>
      <c r="BEA223" s="18"/>
      <c r="BEB223" s="18"/>
      <c r="BEC223" s="18"/>
      <c r="BED223" s="18"/>
      <c r="BEE223" s="18"/>
      <c r="BEF223" s="18"/>
      <c r="BEG223" s="18"/>
      <c r="BEH223" s="18"/>
      <c r="BEI223" s="18"/>
      <c r="BEJ223" s="18"/>
      <c r="BEK223" s="18"/>
      <c r="BEL223" s="18"/>
      <c r="BEM223" s="18"/>
      <c r="BEN223" s="18"/>
      <c r="BEO223" s="18"/>
      <c r="BEP223" s="18"/>
      <c r="BEQ223" s="18"/>
      <c r="BER223" s="18"/>
      <c r="BES223" s="18"/>
      <c r="BET223" s="18"/>
      <c r="BEU223" s="18"/>
      <c r="BEV223" s="18"/>
      <c r="BEW223" s="18"/>
      <c r="BEX223" s="18"/>
      <c r="BEY223" s="18"/>
      <c r="BEZ223" s="18"/>
      <c r="BFA223" s="18"/>
      <c r="BFB223" s="18"/>
      <c r="BFC223" s="18"/>
      <c r="BFD223" s="18"/>
      <c r="BFE223" s="18"/>
      <c r="BFF223" s="18"/>
      <c r="BFG223" s="18"/>
      <c r="BFH223" s="18"/>
      <c r="BFI223" s="18"/>
      <c r="BFJ223" s="18"/>
      <c r="BFK223" s="18"/>
      <c r="BFL223" s="18"/>
      <c r="BFM223" s="18"/>
      <c r="BFN223" s="18"/>
      <c r="BFO223" s="18"/>
      <c r="BFP223" s="18"/>
      <c r="BFQ223" s="18"/>
      <c r="BFR223" s="18"/>
      <c r="BFS223" s="18"/>
      <c r="BFT223" s="18"/>
      <c r="BFU223" s="18"/>
      <c r="BFV223" s="18"/>
      <c r="BFW223" s="18"/>
      <c r="BFX223" s="18"/>
      <c r="BFY223" s="18"/>
      <c r="BFZ223" s="18"/>
      <c r="BGA223" s="18"/>
      <c r="BGB223" s="18"/>
      <c r="BGC223" s="18"/>
      <c r="BGD223" s="18"/>
      <c r="BGE223" s="18"/>
      <c r="BGF223" s="18"/>
      <c r="BGG223" s="18"/>
      <c r="BGH223" s="18"/>
      <c r="BGI223" s="18"/>
      <c r="BGJ223" s="18"/>
      <c r="BGK223" s="18"/>
      <c r="BGL223" s="18"/>
      <c r="BGM223" s="18"/>
      <c r="BGN223" s="18"/>
      <c r="BGO223" s="18"/>
      <c r="BGP223" s="18"/>
      <c r="BGQ223" s="18"/>
      <c r="BGR223" s="18"/>
      <c r="BGS223" s="18"/>
      <c r="BGT223" s="18"/>
      <c r="BGU223" s="18"/>
      <c r="BGV223" s="18"/>
      <c r="BGW223" s="18"/>
      <c r="BGX223" s="18"/>
      <c r="BGY223" s="18"/>
      <c r="BGZ223" s="18"/>
      <c r="BHA223" s="18"/>
      <c r="BHB223" s="18"/>
      <c r="BHC223" s="18"/>
      <c r="BHD223" s="18"/>
      <c r="BHE223" s="18"/>
      <c r="BHF223" s="18"/>
      <c r="BHG223" s="18"/>
      <c r="BHH223" s="18"/>
      <c r="BHI223" s="18"/>
      <c r="BHJ223" s="18"/>
      <c r="BHK223" s="18"/>
      <c r="BHL223" s="18"/>
      <c r="BHM223" s="18"/>
      <c r="BHN223" s="18"/>
      <c r="BHO223" s="18"/>
      <c r="BHP223" s="18"/>
      <c r="BHQ223" s="18"/>
      <c r="BHR223" s="18"/>
      <c r="BHS223" s="18"/>
      <c r="BHT223" s="18"/>
      <c r="BHU223" s="18"/>
      <c r="BHV223" s="18"/>
      <c r="BHW223" s="18"/>
      <c r="BHX223" s="18"/>
      <c r="BHY223" s="18"/>
      <c r="BHZ223" s="18"/>
      <c r="BIA223" s="18"/>
      <c r="BIB223" s="18"/>
      <c r="BIC223" s="18"/>
      <c r="BID223" s="18"/>
      <c r="BIE223" s="18"/>
      <c r="BIF223" s="18"/>
      <c r="BIG223" s="18"/>
      <c r="BIH223" s="18"/>
      <c r="BII223" s="18"/>
      <c r="BIJ223" s="18"/>
      <c r="BIK223" s="18"/>
      <c r="BIL223" s="18"/>
      <c r="BIM223" s="18"/>
      <c r="BIN223" s="18"/>
      <c r="BIO223" s="18"/>
      <c r="BIP223" s="18"/>
      <c r="BIQ223" s="18"/>
      <c r="BIR223" s="18"/>
      <c r="BIS223" s="18"/>
      <c r="BIT223" s="18"/>
      <c r="BIU223" s="18"/>
      <c r="BIV223" s="18"/>
      <c r="BIW223" s="18"/>
      <c r="BIX223" s="18"/>
      <c r="BIY223" s="18"/>
      <c r="BIZ223" s="18"/>
      <c r="BJA223" s="18"/>
      <c r="BJB223" s="18"/>
      <c r="BJC223" s="18"/>
      <c r="BJD223" s="18"/>
      <c r="BJE223" s="18"/>
      <c r="BJF223" s="18"/>
      <c r="BJG223" s="18"/>
      <c r="BJH223" s="18"/>
      <c r="BJI223" s="18"/>
      <c r="BJJ223" s="18"/>
      <c r="BJK223" s="18"/>
      <c r="BJL223" s="18"/>
      <c r="BJM223" s="18"/>
      <c r="BJN223" s="18"/>
      <c r="BJO223" s="18"/>
      <c r="BJP223" s="18"/>
      <c r="BJQ223" s="18"/>
      <c r="BJR223" s="18"/>
      <c r="BJS223" s="18"/>
      <c r="BJT223" s="18"/>
      <c r="BJU223" s="18"/>
      <c r="BJV223" s="18"/>
      <c r="BJW223" s="18"/>
      <c r="BJX223" s="18"/>
      <c r="BJY223" s="18"/>
      <c r="BJZ223" s="18"/>
      <c r="BKA223" s="18"/>
      <c r="BKB223" s="18"/>
      <c r="BKC223" s="18"/>
      <c r="BKD223" s="18"/>
      <c r="BKE223" s="18"/>
      <c r="BKF223" s="18"/>
      <c r="BKG223" s="18"/>
      <c r="BKH223" s="18"/>
      <c r="BKI223" s="18"/>
      <c r="BKJ223" s="18"/>
      <c r="BKK223" s="18"/>
      <c r="BKL223" s="18"/>
      <c r="BKM223" s="18"/>
      <c r="BKN223" s="18"/>
      <c r="BKO223" s="18"/>
      <c r="BKP223" s="18"/>
      <c r="BKQ223" s="18"/>
      <c r="BKR223" s="18"/>
      <c r="BKS223" s="18"/>
      <c r="BKT223" s="18"/>
      <c r="BKU223" s="18"/>
      <c r="BKV223" s="18"/>
      <c r="BKW223" s="18"/>
      <c r="BKX223" s="18"/>
      <c r="BKY223" s="18"/>
      <c r="BKZ223" s="18"/>
      <c r="BLA223" s="18"/>
      <c r="BLB223" s="18"/>
      <c r="BLC223" s="18"/>
      <c r="BLD223" s="18"/>
      <c r="BLE223" s="18"/>
      <c r="BLF223" s="18"/>
      <c r="BLG223" s="18"/>
      <c r="BLH223" s="18"/>
      <c r="BLI223" s="18"/>
      <c r="BLJ223" s="18"/>
      <c r="BLK223" s="18"/>
      <c r="BLL223" s="18"/>
      <c r="BLM223" s="18"/>
      <c r="BLN223" s="18"/>
      <c r="BLO223" s="18"/>
      <c r="BLP223" s="18"/>
      <c r="BLQ223" s="18"/>
      <c r="BLR223" s="18"/>
      <c r="BLS223" s="18"/>
      <c r="BLT223" s="18"/>
      <c r="BLU223" s="18"/>
      <c r="BLV223" s="18"/>
      <c r="BLW223" s="18"/>
      <c r="BLX223" s="18"/>
      <c r="BLY223" s="18"/>
      <c r="BLZ223" s="18"/>
      <c r="BMA223" s="18"/>
      <c r="BMB223" s="18"/>
      <c r="BMC223" s="18"/>
      <c r="BMD223" s="18"/>
      <c r="BME223" s="18"/>
      <c r="BMF223" s="18"/>
      <c r="BMG223" s="18"/>
      <c r="BMH223" s="18"/>
      <c r="BMI223" s="18"/>
      <c r="BMJ223" s="18"/>
      <c r="BMK223" s="18"/>
      <c r="BML223" s="18"/>
      <c r="BMM223" s="18"/>
      <c r="BMN223" s="18"/>
      <c r="BMO223" s="18"/>
      <c r="BMP223" s="18"/>
      <c r="BMQ223" s="18"/>
      <c r="BMR223" s="18"/>
      <c r="BMS223" s="18"/>
      <c r="BMT223" s="18"/>
      <c r="BMU223" s="18"/>
      <c r="BMV223" s="18"/>
      <c r="BMW223" s="18"/>
      <c r="BMX223" s="18"/>
      <c r="BMY223" s="18"/>
      <c r="BMZ223" s="18"/>
      <c r="BNA223" s="18"/>
      <c r="BNB223" s="18"/>
      <c r="BNC223" s="18"/>
      <c r="BND223" s="18"/>
      <c r="BNE223" s="18"/>
      <c r="BNF223" s="18"/>
      <c r="BNG223" s="18"/>
      <c r="BNH223" s="18"/>
      <c r="BNI223" s="18"/>
      <c r="BNJ223" s="18"/>
      <c r="BNK223" s="18"/>
      <c r="BNL223" s="18"/>
      <c r="BNM223" s="18"/>
      <c r="BNN223" s="18"/>
      <c r="BNO223" s="18"/>
      <c r="BNP223" s="18"/>
      <c r="BNQ223" s="18"/>
      <c r="BNR223" s="18"/>
      <c r="BNS223" s="18"/>
      <c r="BNT223" s="18"/>
      <c r="BNU223" s="18"/>
      <c r="BNV223" s="18"/>
      <c r="BNW223" s="18"/>
      <c r="BNX223" s="18"/>
      <c r="BNY223" s="18"/>
      <c r="BNZ223" s="18"/>
      <c r="BOA223" s="18"/>
      <c r="BOB223" s="18"/>
      <c r="BOC223" s="18"/>
      <c r="BOD223" s="18"/>
      <c r="BOE223" s="18"/>
      <c r="BOF223" s="18"/>
      <c r="BOG223" s="18"/>
      <c r="BOH223" s="18"/>
      <c r="BOI223" s="18"/>
      <c r="BOJ223" s="18"/>
      <c r="BOK223" s="18"/>
      <c r="BOL223" s="18"/>
      <c r="BOM223" s="18"/>
      <c r="BON223" s="18"/>
      <c r="BOO223" s="18"/>
      <c r="BOP223" s="18"/>
      <c r="BOQ223" s="18"/>
      <c r="BOR223" s="18"/>
      <c r="BOS223" s="18"/>
      <c r="BOT223" s="18"/>
      <c r="BOU223" s="18"/>
      <c r="BOV223" s="18"/>
      <c r="BOW223" s="18"/>
      <c r="BOX223" s="18"/>
      <c r="BOY223" s="18"/>
      <c r="BOZ223" s="18"/>
      <c r="BPA223" s="18"/>
      <c r="BPB223" s="18"/>
      <c r="BPC223" s="18"/>
      <c r="BPD223" s="18"/>
      <c r="BPE223" s="18"/>
      <c r="BPF223" s="18"/>
      <c r="BPG223" s="18"/>
      <c r="BPH223" s="18"/>
      <c r="BPI223" s="18"/>
      <c r="BPJ223" s="18"/>
      <c r="BPK223" s="18"/>
      <c r="BPL223" s="18"/>
      <c r="BPM223" s="18"/>
      <c r="BPN223" s="18"/>
      <c r="BPO223" s="18"/>
      <c r="BPP223" s="18"/>
      <c r="BPQ223" s="18"/>
      <c r="BPR223" s="18"/>
      <c r="BPS223" s="18"/>
      <c r="BPT223" s="18"/>
      <c r="BPU223" s="18"/>
      <c r="BPV223" s="18"/>
      <c r="BPW223" s="18"/>
      <c r="BPX223" s="18"/>
      <c r="BPY223" s="18"/>
      <c r="BPZ223" s="18"/>
      <c r="BQA223" s="18"/>
      <c r="BQB223" s="18"/>
      <c r="BQC223" s="18"/>
      <c r="BQD223" s="18"/>
      <c r="BQE223" s="18"/>
      <c r="BQF223" s="18"/>
      <c r="BQG223" s="18"/>
      <c r="BQH223" s="18"/>
      <c r="BQI223" s="18"/>
      <c r="BQJ223" s="18"/>
      <c r="BQK223" s="18"/>
      <c r="BQL223" s="18"/>
      <c r="BQM223" s="18"/>
      <c r="BQN223" s="18"/>
      <c r="BQO223" s="18"/>
      <c r="BQP223" s="18"/>
      <c r="BQQ223" s="18"/>
      <c r="BQR223" s="18"/>
      <c r="BQS223" s="18"/>
      <c r="BQT223" s="18"/>
      <c r="BQU223" s="18"/>
      <c r="BQV223" s="18"/>
      <c r="BQW223" s="18"/>
      <c r="BQX223" s="18"/>
      <c r="BQY223" s="18"/>
      <c r="BQZ223" s="18"/>
      <c r="BRA223" s="18"/>
      <c r="BRB223" s="18"/>
      <c r="BRC223" s="18"/>
      <c r="BRD223" s="18"/>
      <c r="BRE223" s="18"/>
      <c r="BRF223" s="18"/>
      <c r="BRG223" s="18"/>
      <c r="BRH223" s="18"/>
      <c r="BRI223" s="18"/>
      <c r="BRJ223" s="18"/>
      <c r="BRK223" s="18"/>
      <c r="BRL223" s="18"/>
      <c r="BRM223" s="18"/>
      <c r="BRN223" s="18"/>
      <c r="BRO223" s="18"/>
      <c r="BRP223" s="18"/>
      <c r="BRQ223" s="18"/>
      <c r="BRR223" s="18"/>
      <c r="BRS223" s="18"/>
      <c r="BRT223" s="18"/>
      <c r="BRU223" s="18"/>
      <c r="BRV223" s="18"/>
      <c r="BRW223" s="18"/>
      <c r="BRX223" s="18"/>
      <c r="BRY223" s="18"/>
      <c r="BRZ223" s="18"/>
      <c r="BSA223" s="18"/>
      <c r="BSB223" s="18"/>
      <c r="BSC223" s="18"/>
      <c r="BSD223" s="18"/>
      <c r="BSE223" s="18"/>
      <c r="BSF223" s="18"/>
      <c r="BSG223" s="18"/>
      <c r="BSH223" s="18"/>
      <c r="BSI223" s="18"/>
      <c r="BSJ223" s="18"/>
      <c r="BSK223" s="18"/>
      <c r="BSL223" s="18"/>
      <c r="BSM223" s="18"/>
      <c r="BSN223" s="18"/>
      <c r="BSO223" s="18"/>
      <c r="BSP223" s="18"/>
      <c r="BSQ223" s="18"/>
      <c r="BSR223" s="18"/>
      <c r="BSS223" s="18"/>
      <c r="BST223" s="18"/>
      <c r="BSU223" s="18"/>
      <c r="BSV223" s="18"/>
      <c r="BSW223" s="18"/>
      <c r="BSX223" s="18"/>
      <c r="BSY223" s="18"/>
      <c r="BSZ223" s="18"/>
      <c r="BTA223" s="18"/>
      <c r="BTB223" s="18"/>
      <c r="BTC223" s="18"/>
      <c r="BTD223" s="18"/>
      <c r="BTE223" s="18"/>
      <c r="BTF223" s="18"/>
      <c r="BTG223" s="18"/>
      <c r="BTH223" s="18"/>
      <c r="BTI223" s="18"/>
    </row>
    <row r="224" spans="1:1881" s="426" customFormat="1" ht="191.4" customHeight="1" x14ac:dyDescent="0.3">
      <c r="A224" s="100">
        <v>577</v>
      </c>
      <c r="B224" s="427" t="s">
        <v>324</v>
      </c>
      <c r="C224" s="373" t="s">
        <v>296</v>
      </c>
      <c r="D224" s="226" t="s">
        <v>1458</v>
      </c>
      <c r="E224" s="528"/>
      <c r="F224" s="793"/>
      <c r="G224" s="530" t="str">
        <f>IF(F224="Yes","In this cell - Please include the name of the plan, a brief description of the benefit and the population group that received the benefits."," ")</f>
        <v xml:space="preserve"> </v>
      </c>
      <c r="H224" s="17"/>
      <c r="I224" s="17"/>
      <c r="J224" s="424"/>
      <c r="K224"/>
      <c r="L224" s="547"/>
      <c r="M224"/>
      <c r="N224" s="18"/>
      <c r="O224" s="186"/>
      <c r="P224" s="18"/>
      <c r="Q224" s="18"/>
      <c r="R224" s="18"/>
      <c r="S224" s="18"/>
      <c r="T224" s="18"/>
      <c r="U224" s="18"/>
      <c r="V224" s="18"/>
      <c r="W224" s="18"/>
      <c r="X224" s="18"/>
      <c r="Y224" s="18"/>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c r="OE224" s="18"/>
      <c r="OF224" s="18"/>
      <c r="OG224" s="18"/>
      <c r="OH224" s="18"/>
      <c r="OI224" s="18"/>
      <c r="OJ224" s="18"/>
      <c r="OK224" s="18"/>
      <c r="OL224" s="18"/>
      <c r="OM224" s="18"/>
      <c r="ON224" s="18"/>
      <c r="OO224" s="18"/>
      <c r="OP224" s="18"/>
      <c r="OQ224" s="18"/>
      <c r="OR224" s="18"/>
      <c r="OS224" s="18"/>
      <c r="OT224" s="18"/>
      <c r="OU224" s="18"/>
      <c r="OV224" s="18"/>
      <c r="OW224" s="18"/>
      <c r="OX224" s="18"/>
      <c r="OY224" s="18"/>
      <c r="OZ224" s="18"/>
      <c r="PA224" s="18"/>
      <c r="PB224" s="18"/>
      <c r="PC224" s="18"/>
      <c r="PD224" s="18"/>
      <c r="PE224" s="18"/>
      <c r="PF224" s="18"/>
      <c r="PG224" s="18"/>
      <c r="PH224" s="18"/>
      <c r="PI224" s="18"/>
      <c r="PJ224" s="18"/>
      <c r="PK224" s="18"/>
      <c r="PL224" s="18"/>
      <c r="PM224" s="18"/>
      <c r="PN224" s="18"/>
      <c r="PO224" s="18"/>
      <c r="PP224" s="18"/>
      <c r="PQ224" s="18"/>
      <c r="PR224" s="18"/>
      <c r="PS224" s="18"/>
      <c r="PT224" s="18"/>
      <c r="PU224" s="18"/>
      <c r="PV224" s="18"/>
      <c r="PW224" s="18"/>
      <c r="PX224" s="18"/>
      <c r="PY224" s="18"/>
      <c r="PZ224" s="18"/>
      <c r="QA224" s="18"/>
      <c r="QB224" s="18"/>
      <c r="QC224" s="18"/>
      <c r="QD224" s="18"/>
      <c r="QE224" s="18"/>
      <c r="QF224" s="18"/>
      <c r="QG224" s="18"/>
      <c r="QH224" s="18"/>
      <c r="QI224" s="18"/>
      <c r="QJ224" s="18"/>
      <c r="QK224" s="18"/>
      <c r="QL224" s="18"/>
      <c r="QM224" s="18"/>
      <c r="QN224" s="18"/>
      <c r="QO224" s="18"/>
      <c r="QP224" s="18"/>
      <c r="QQ224" s="18"/>
      <c r="QR224" s="18"/>
      <c r="QS224" s="18"/>
      <c r="QT224" s="18"/>
      <c r="QU224" s="18"/>
      <c r="QV224" s="18"/>
      <c r="QW224" s="18"/>
      <c r="QX224" s="18"/>
      <c r="QY224" s="18"/>
      <c r="QZ224" s="18"/>
      <c r="RA224" s="18"/>
      <c r="RB224" s="18"/>
      <c r="RC224" s="18"/>
      <c r="RD224" s="18"/>
      <c r="RE224" s="18"/>
      <c r="RF224" s="18"/>
      <c r="RG224" s="18"/>
      <c r="RH224" s="18"/>
      <c r="RI224" s="18"/>
      <c r="RJ224" s="18"/>
      <c r="RK224" s="18"/>
      <c r="RL224" s="18"/>
      <c r="RM224" s="18"/>
      <c r="RN224" s="18"/>
      <c r="RO224" s="18"/>
      <c r="RP224" s="18"/>
      <c r="RQ224" s="18"/>
      <c r="RR224" s="18"/>
      <c r="RS224" s="18"/>
      <c r="RT224" s="18"/>
      <c r="RU224" s="18"/>
      <c r="RV224" s="18"/>
      <c r="RW224" s="18"/>
      <c r="RX224" s="18"/>
      <c r="RY224" s="18"/>
      <c r="RZ224" s="18"/>
      <c r="SA224" s="18"/>
      <c r="SB224" s="18"/>
      <c r="SC224" s="18"/>
      <c r="SD224" s="18"/>
      <c r="SE224" s="18"/>
      <c r="SF224" s="18"/>
      <c r="SG224" s="18"/>
      <c r="SH224" s="18"/>
      <c r="SI224" s="18"/>
      <c r="SJ224" s="18"/>
      <c r="SK224" s="18"/>
      <c r="SL224" s="18"/>
      <c r="SM224" s="18"/>
      <c r="SN224" s="18"/>
      <c r="SO224" s="18"/>
      <c r="SP224" s="18"/>
      <c r="SQ224" s="18"/>
      <c r="SR224" s="18"/>
      <c r="SS224" s="18"/>
      <c r="ST224" s="18"/>
      <c r="SU224" s="18"/>
      <c r="SV224" s="18"/>
      <c r="SW224" s="18"/>
      <c r="SX224" s="18"/>
      <c r="SY224" s="18"/>
      <c r="SZ224" s="18"/>
      <c r="TA224" s="18"/>
      <c r="TB224" s="18"/>
      <c r="TC224" s="18"/>
      <c r="TD224" s="18"/>
      <c r="TE224" s="18"/>
      <c r="TF224" s="18"/>
      <c r="TG224" s="18"/>
      <c r="TH224" s="18"/>
      <c r="TI224" s="18"/>
      <c r="TJ224" s="18"/>
      <c r="TK224" s="18"/>
      <c r="TL224" s="18"/>
      <c r="TM224" s="18"/>
      <c r="TN224" s="18"/>
      <c r="TO224" s="18"/>
      <c r="TP224" s="18"/>
      <c r="TQ224" s="18"/>
      <c r="TR224" s="18"/>
      <c r="TS224" s="18"/>
      <c r="TT224" s="18"/>
      <c r="TU224" s="18"/>
      <c r="TV224" s="18"/>
      <c r="TW224" s="18"/>
      <c r="TX224" s="18"/>
      <c r="TY224" s="18"/>
      <c r="TZ224" s="18"/>
      <c r="UA224" s="18"/>
      <c r="UB224" s="18"/>
      <c r="UC224" s="18"/>
      <c r="UD224" s="18"/>
      <c r="UE224" s="18"/>
      <c r="UF224" s="18"/>
      <c r="UG224" s="18"/>
      <c r="UH224" s="18"/>
      <c r="UI224" s="18"/>
      <c r="UJ224" s="18"/>
      <c r="UK224" s="18"/>
      <c r="UL224" s="18"/>
      <c r="UM224" s="18"/>
      <c r="UN224" s="18"/>
      <c r="UO224" s="18"/>
      <c r="UP224" s="18"/>
      <c r="UQ224" s="18"/>
      <c r="UR224" s="18"/>
      <c r="US224" s="18"/>
      <c r="UT224" s="18"/>
      <c r="UU224" s="18"/>
      <c r="UV224" s="18"/>
      <c r="UW224" s="18"/>
      <c r="UX224" s="18"/>
      <c r="UY224" s="18"/>
      <c r="UZ224" s="18"/>
      <c r="VA224" s="18"/>
      <c r="VB224" s="18"/>
      <c r="VC224" s="18"/>
      <c r="VD224" s="18"/>
      <c r="VE224" s="18"/>
      <c r="VF224" s="18"/>
      <c r="VG224" s="18"/>
      <c r="VH224" s="18"/>
      <c r="VI224" s="18"/>
      <c r="VJ224" s="18"/>
      <c r="VK224" s="18"/>
      <c r="VL224" s="18"/>
      <c r="VM224" s="18"/>
      <c r="VN224" s="18"/>
      <c r="VO224" s="18"/>
      <c r="VP224" s="18"/>
      <c r="VQ224" s="18"/>
      <c r="VR224" s="18"/>
      <c r="VS224" s="18"/>
      <c r="VT224" s="18"/>
      <c r="VU224" s="18"/>
      <c r="VV224" s="18"/>
      <c r="VW224" s="18"/>
      <c r="VX224" s="18"/>
      <c r="VY224" s="18"/>
      <c r="VZ224" s="18"/>
      <c r="WA224" s="18"/>
      <c r="WB224" s="18"/>
      <c r="WC224" s="18"/>
      <c r="WD224" s="18"/>
      <c r="WE224" s="18"/>
      <c r="WF224" s="18"/>
      <c r="WG224" s="18"/>
      <c r="WH224" s="18"/>
      <c r="WI224" s="18"/>
      <c r="WJ224" s="18"/>
      <c r="WK224" s="18"/>
      <c r="WL224" s="18"/>
      <c r="WM224" s="18"/>
      <c r="WN224" s="18"/>
      <c r="WO224" s="18"/>
      <c r="WP224" s="18"/>
      <c r="WQ224" s="18"/>
      <c r="WR224" s="18"/>
      <c r="WS224" s="18"/>
      <c r="WT224" s="18"/>
      <c r="WU224" s="18"/>
      <c r="WV224" s="18"/>
      <c r="WW224" s="18"/>
      <c r="WX224" s="18"/>
      <c r="WY224" s="18"/>
      <c r="WZ224" s="18"/>
      <c r="XA224" s="18"/>
      <c r="XB224" s="18"/>
      <c r="XC224" s="18"/>
      <c r="XD224" s="18"/>
      <c r="XE224" s="18"/>
      <c r="XF224" s="18"/>
      <c r="XG224" s="18"/>
      <c r="XH224" s="18"/>
      <c r="XI224" s="18"/>
      <c r="XJ224" s="18"/>
      <c r="XK224" s="18"/>
      <c r="XL224" s="18"/>
      <c r="XM224" s="18"/>
      <c r="XN224" s="18"/>
      <c r="XO224" s="18"/>
      <c r="XP224" s="18"/>
      <c r="XQ224" s="18"/>
      <c r="XR224" s="18"/>
      <c r="XS224" s="18"/>
      <c r="XT224" s="18"/>
      <c r="XU224" s="18"/>
      <c r="XV224" s="18"/>
      <c r="XW224" s="18"/>
      <c r="XX224" s="18"/>
      <c r="XY224" s="18"/>
      <c r="XZ224" s="18"/>
      <c r="YA224" s="18"/>
      <c r="YB224" s="18"/>
      <c r="YC224" s="18"/>
      <c r="YD224" s="18"/>
      <c r="YE224" s="18"/>
      <c r="YF224" s="18"/>
      <c r="YG224" s="18"/>
      <c r="YH224" s="18"/>
      <c r="YI224" s="18"/>
      <c r="YJ224" s="18"/>
      <c r="YK224" s="18"/>
      <c r="YL224" s="18"/>
      <c r="YM224" s="18"/>
      <c r="YN224" s="18"/>
      <c r="YO224" s="18"/>
      <c r="YP224" s="18"/>
      <c r="YQ224" s="18"/>
      <c r="YR224" s="18"/>
      <c r="YS224" s="18"/>
      <c r="YT224" s="18"/>
      <c r="YU224" s="18"/>
      <c r="YV224" s="18"/>
      <c r="YW224" s="18"/>
      <c r="YX224" s="18"/>
      <c r="YY224" s="18"/>
      <c r="YZ224" s="18"/>
      <c r="ZA224" s="18"/>
      <c r="ZB224" s="18"/>
      <c r="ZC224" s="18"/>
      <c r="ZD224" s="18"/>
      <c r="ZE224" s="18"/>
      <c r="ZF224" s="18"/>
      <c r="ZG224" s="18"/>
      <c r="ZH224" s="18"/>
      <c r="ZI224" s="18"/>
      <c r="ZJ224" s="18"/>
      <c r="ZK224" s="18"/>
      <c r="ZL224" s="18"/>
      <c r="ZM224" s="18"/>
      <c r="ZN224" s="18"/>
      <c r="ZO224" s="18"/>
      <c r="ZP224" s="18"/>
      <c r="ZQ224" s="18"/>
      <c r="ZR224" s="18"/>
      <c r="ZS224" s="18"/>
      <c r="ZT224" s="18"/>
      <c r="ZU224" s="18"/>
      <c r="ZV224" s="18"/>
      <c r="ZW224" s="18"/>
      <c r="ZX224" s="18"/>
      <c r="ZY224" s="18"/>
      <c r="ZZ224" s="18"/>
      <c r="AAA224" s="18"/>
      <c r="AAB224" s="18"/>
      <c r="AAC224" s="18"/>
      <c r="AAD224" s="18"/>
      <c r="AAE224" s="18"/>
      <c r="AAF224" s="18"/>
      <c r="AAG224" s="18"/>
      <c r="AAH224" s="18"/>
      <c r="AAI224" s="18"/>
      <c r="AAJ224" s="18"/>
      <c r="AAK224" s="18"/>
      <c r="AAL224" s="18"/>
      <c r="AAM224" s="18"/>
      <c r="AAN224" s="18"/>
      <c r="AAO224" s="18"/>
      <c r="AAP224" s="18"/>
      <c r="AAQ224" s="18"/>
      <c r="AAR224" s="18"/>
      <c r="AAS224" s="18"/>
      <c r="AAT224" s="18"/>
      <c r="AAU224" s="18"/>
      <c r="AAV224" s="18"/>
      <c r="AAW224" s="18"/>
      <c r="AAX224" s="18"/>
      <c r="AAY224" s="18"/>
      <c r="AAZ224" s="18"/>
      <c r="ABA224" s="18"/>
      <c r="ABB224" s="18"/>
      <c r="ABC224" s="18"/>
      <c r="ABD224" s="18"/>
      <c r="ABE224" s="18"/>
      <c r="ABF224" s="18"/>
      <c r="ABG224" s="18"/>
      <c r="ABH224" s="18"/>
      <c r="ABI224" s="18"/>
      <c r="ABJ224" s="18"/>
      <c r="ABK224" s="18"/>
      <c r="ABL224" s="18"/>
      <c r="ABM224" s="18"/>
      <c r="ABN224" s="18"/>
      <c r="ABO224" s="18"/>
      <c r="ABP224" s="18"/>
      <c r="ABQ224" s="18"/>
      <c r="ABR224" s="18"/>
      <c r="ABS224" s="18"/>
      <c r="ABT224" s="18"/>
      <c r="ABU224" s="18"/>
      <c r="ABV224" s="18"/>
      <c r="ABW224" s="18"/>
      <c r="ABX224" s="18"/>
      <c r="ABY224" s="18"/>
      <c r="ABZ224" s="18"/>
      <c r="ACA224" s="18"/>
      <c r="ACB224" s="18"/>
      <c r="ACC224" s="18"/>
      <c r="ACD224" s="18"/>
      <c r="ACE224" s="18"/>
      <c r="ACF224" s="18"/>
      <c r="ACG224" s="18"/>
      <c r="ACH224" s="18"/>
      <c r="ACI224" s="18"/>
      <c r="ACJ224" s="18"/>
      <c r="ACK224" s="18"/>
      <c r="ACL224" s="18"/>
      <c r="ACM224" s="18"/>
      <c r="ACN224" s="18"/>
      <c r="ACO224" s="18"/>
      <c r="ACP224" s="18"/>
      <c r="ACQ224" s="18"/>
      <c r="ACR224" s="18"/>
      <c r="ACS224" s="18"/>
      <c r="ACT224" s="18"/>
      <c r="ACU224" s="18"/>
      <c r="ACV224" s="18"/>
      <c r="ACW224" s="18"/>
      <c r="ACX224" s="18"/>
      <c r="ACY224" s="18"/>
      <c r="ACZ224" s="18"/>
      <c r="ADA224" s="18"/>
      <c r="ADB224" s="18"/>
      <c r="ADC224" s="18"/>
      <c r="ADD224" s="18"/>
      <c r="ADE224" s="18"/>
      <c r="ADF224" s="18"/>
      <c r="ADG224" s="18"/>
      <c r="ADH224" s="18"/>
      <c r="ADI224" s="18"/>
      <c r="ADJ224" s="18"/>
      <c r="ADK224" s="18"/>
      <c r="ADL224" s="18"/>
      <c r="ADM224" s="18"/>
      <c r="ADN224" s="18"/>
      <c r="ADO224" s="18"/>
      <c r="ADP224" s="18"/>
      <c r="ADQ224" s="18"/>
      <c r="ADR224" s="18"/>
      <c r="ADS224" s="18"/>
      <c r="ADT224" s="18"/>
      <c r="ADU224" s="18"/>
      <c r="ADV224" s="18"/>
      <c r="ADW224" s="18"/>
      <c r="ADX224" s="18"/>
      <c r="ADY224" s="18"/>
      <c r="ADZ224" s="18"/>
      <c r="AEA224" s="18"/>
      <c r="AEB224" s="18"/>
      <c r="AEC224" s="18"/>
      <c r="AED224" s="18"/>
      <c r="AEE224" s="18"/>
      <c r="AEF224" s="18"/>
      <c r="AEG224" s="18"/>
      <c r="AEH224" s="18"/>
      <c r="AEI224" s="18"/>
      <c r="AEJ224" s="18"/>
      <c r="AEK224" s="18"/>
      <c r="AEL224" s="18"/>
      <c r="AEM224" s="18"/>
      <c r="AEN224" s="18"/>
      <c r="AEO224" s="18"/>
      <c r="AEP224" s="18"/>
      <c r="AEQ224" s="18"/>
      <c r="AER224" s="18"/>
      <c r="AES224" s="18"/>
      <c r="AET224" s="18"/>
      <c r="AEU224" s="18"/>
      <c r="AEV224" s="18"/>
      <c r="AEW224" s="18"/>
      <c r="AEX224" s="18"/>
      <c r="AEY224" s="18"/>
      <c r="AEZ224" s="18"/>
      <c r="AFA224" s="18"/>
      <c r="AFB224" s="18"/>
      <c r="AFC224" s="18"/>
      <c r="AFD224" s="18"/>
      <c r="AFE224" s="18"/>
      <c r="AFF224" s="18"/>
      <c r="AFG224" s="18"/>
      <c r="AFH224" s="18"/>
      <c r="AFI224" s="18"/>
      <c r="AFJ224" s="18"/>
      <c r="AFK224" s="18"/>
      <c r="AFL224" s="18"/>
      <c r="AFM224" s="18"/>
      <c r="AFN224" s="18"/>
      <c r="AFO224" s="18"/>
      <c r="AFP224" s="18"/>
      <c r="AFQ224" s="18"/>
      <c r="AFR224" s="18"/>
      <c r="AFS224" s="18"/>
      <c r="AFT224" s="18"/>
      <c r="AFU224" s="18"/>
      <c r="AFV224" s="18"/>
      <c r="AFW224" s="18"/>
      <c r="AFX224" s="18"/>
      <c r="AFY224" s="18"/>
      <c r="AFZ224" s="18"/>
      <c r="AGA224" s="18"/>
      <c r="AGB224" s="18"/>
      <c r="AGC224" s="18"/>
      <c r="AGD224" s="18"/>
      <c r="AGE224" s="18"/>
      <c r="AGF224" s="18"/>
      <c r="AGG224" s="18"/>
      <c r="AGH224" s="18"/>
      <c r="AGI224" s="18"/>
      <c r="AGJ224" s="18"/>
      <c r="AGK224" s="18"/>
      <c r="AGL224" s="18"/>
      <c r="AGM224" s="18"/>
      <c r="AGN224" s="18"/>
      <c r="AGO224" s="18"/>
      <c r="AGP224" s="18"/>
      <c r="AGQ224" s="18"/>
      <c r="AGR224" s="18"/>
      <c r="AGS224" s="18"/>
      <c r="AGT224" s="18"/>
      <c r="AGU224" s="18"/>
      <c r="AGV224" s="18"/>
      <c r="AGW224" s="18"/>
      <c r="AGX224" s="18"/>
      <c r="AGY224" s="18"/>
      <c r="AGZ224" s="18"/>
      <c r="AHA224" s="18"/>
      <c r="AHB224" s="18"/>
      <c r="AHC224" s="18"/>
      <c r="AHD224" s="18"/>
      <c r="AHE224" s="18"/>
      <c r="AHF224" s="18"/>
      <c r="AHG224" s="18"/>
      <c r="AHH224" s="18"/>
      <c r="AHI224" s="18"/>
      <c r="AHJ224" s="18"/>
      <c r="AHK224" s="18"/>
      <c r="AHL224" s="18"/>
      <c r="AHM224" s="18"/>
      <c r="AHN224" s="18"/>
      <c r="AHO224" s="18"/>
      <c r="AHP224" s="18"/>
      <c r="AHQ224" s="18"/>
      <c r="AHR224" s="18"/>
      <c r="AHS224" s="18"/>
      <c r="AHT224" s="18"/>
      <c r="AHU224" s="18"/>
      <c r="AHV224" s="18"/>
      <c r="AHW224" s="18"/>
      <c r="AHX224" s="18"/>
      <c r="AHY224" s="18"/>
      <c r="AHZ224" s="18"/>
      <c r="AIA224" s="18"/>
      <c r="AIB224" s="18"/>
      <c r="AIC224" s="18"/>
      <c r="AID224" s="18"/>
      <c r="AIE224" s="18"/>
      <c r="AIF224" s="18"/>
      <c r="AIG224" s="18"/>
      <c r="AIH224" s="18"/>
      <c r="AII224" s="18"/>
      <c r="AIJ224" s="18"/>
      <c r="AIK224" s="18"/>
      <c r="AIL224" s="18"/>
      <c r="AIM224" s="18"/>
      <c r="AIN224" s="18"/>
      <c r="AIO224" s="18"/>
      <c r="AIP224" s="18"/>
      <c r="AIQ224" s="18"/>
      <c r="AIR224" s="18"/>
      <c r="AIS224" s="18"/>
      <c r="AIT224" s="18"/>
      <c r="AIU224" s="18"/>
      <c r="AIV224" s="18"/>
      <c r="AIW224" s="18"/>
      <c r="AIX224" s="18"/>
      <c r="AIY224" s="18"/>
      <c r="AIZ224" s="18"/>
      <c r="AJA224" s="18"/>
      <c r="AJB224" s="18"/>
      <c r="AJC224" s="18"/>
      <c r="AJD224" s="18"/>
      <c r="AJE224" s="18"/>
      <c r="AJF224" s="18"/>
      <c r="AJG224" s="18"/>
      <c r="AJH224" s="18"/>
      <c r="AJI224" s="18"/>
      <c r="AJJ224" s="18"/>
      <c r="AJK224" s="18"/>
      <c r="AJL224" s="18"/>
      <c r="AJM224" s="18"/>
      <c r="AJN224" s="18"/>
      <c r="AJO224" s="18"/>
      <c r="AJP224" s="18"/>
      <c r="AJQ224" s="18"/>
      <c r="AJR224" s="18"/>
      <c r="AJS224" s="18"/>
      <c r="AJT224" s="18"/>
      <c r="AJU224" s="18"/>
      <c r="AJV224" s="18"/>
      <c r="AJW224" s="18"/>
      <c r="AJX224" s="18"/>
      <c r="AJY224" s="18"/>
      <c r="AJZ224" s="18"/>
      <c r="AKA224" s="18"/>
      <c r="AKB224" s="18"/>
      <c r="AKC224" s="18"/>
      <c r="AKD224" s="18"/>
      <c r="AKE224" s="18"/>
      <c r="AKF224" s="18"/>
      <c r="AKG224" s="18"/>
      <c r="AKH224" s="18"/>
      <c r="AKI224" s="18"/>
      <c r="AKJ224" s="18"/>
      <c r="AKK224" s="18"/>
      <c r="AKL224" s="18"/>
      <c r="AKM224" s="18"/>
      <c r="AKN224" s="18"/>
      <c r="AKO224" s="18"/>
      <c r="AKP224" s="18"/>
      <c r="AKQ224" s="18"/>
      <c r="AKR224" s="18"/>
      <c r="AKS224" s="18"/>
      <c r="AKT224" s="18"/>
      <c r="AKU224" s="18"/>
      <c r="AKV224" s="18"/>
      <c r="AKW224" s="18"/>
      <c r="AKX224" s="18"/>
      <c r="AKY224" s="18"/>
      <c r="AKZ224" s="18"/>
      <c r="ALA224" s="18"/>
      <c r="ALB224" s="18"/>
      <c r="ALC224" s="18"/>
      <c r="ALD224" s="18"/>
      <c r="ALE224" s="18"/>
      <c r="ALF224" s="18"/>
      <c r="ALG224" s="18"/>
      <c r="ALH224" s="18"/>
      <c r="ALI224" s="18"/>
      <c r="ALJ224" s="18"/>
      <c r="ALK224" s="18"/>
      <c r="ALL224" s="18"/>
      <c r="ALM224" s="18"/>
      <c r="ALN224" s="18"/>
      <c r="ALO224" s="18"/>
      <c r="ALP224" s="18"/>
      <c r="ALQ224" s="18"/>
      <c r="ALR224" s="18"/>
      <c r="ALS224" s="18"/>
      <c r="ALT224" s="18"/>
      <c r="ALU224" s="18"/>
      <c r="ALV224" s="18"/>
      <c r="ALW224" s="18"/>
      <c r="ALX224" s="18"/>
      <c r="ALY224" s="18"/>
      <c r="ALZ224" s="18"/>
      <c r="AMA224" s="18"/>
      <c r="AMB224" s="18"/>
      <c r="AMC224" s="18"/>
      <c r="AMD224" s="18"/>
      <c r="AME224" s="18"/>
      <c r="AMF224" s="18"/>
      <c r="AMG224" s="18"/>
      <c r="AMH224" s="18"/>
      <c r="AMI224" s="18"/>
      <c r="AMJ224" s="18"/>
      <c r="AMK224" s="18"/>
      <c r="AML224" s="18"/>
      <c r="AMM224" s="18"/>
      <c r="AMN224" s="18"/>
      <c r="AMO224" s="18"/>
      <c r="AMP224" s="18"/>
      <c r="AMQ224" s="18"/>
      <c r="AMR224" s="18"/>
      <c r="AMS224" s="18"/>
      <c r="AMT224" s="18"/>
      <c r="AMU224" s="18"/>
      <c r="AMV224" s="18"/>
      <c r="AMW224" s="18"/>
      <c r="AMX224" s="18"/>
      <c r="AMY224" s="18"/>
      <c r="AMZ224" s="18"/>
      <c r="ANA224" s="18"/>
      <c r="ANB224" s="18"/>
      <c r="ANC224" s="18"/>
      <c r="AND224" s="18"/>
      <c r="ANE224" s="18"/>
      <c r="ANF224" s="18"/>
      <c r="ANG224" s="18"/>
      <c r="ANH224" s="18"/>
      <c r="ANI224" s="18"/>
      <c r="ANJ224" s="18"/>
      <c r="ANK224" s="18"/>
      <c r="ANL224" s="18"/>
      <c r="ANM224" s="18"/>
      <c r="ANN224" s="18"/>
      <c r="ANO224" s="18"/>
      <c r="ANP224" s="18"/>
      <c r="ANQ224" s="18"/>
      <c r="ANR224" s="18"/>
      <c r="ANS224" s="18"/>
      <c r="ANT224" s="18"/>
      <c r="ANU224" s="18"/>
      <c r="ANV224" s="18"/>
      <c r="ANW224" s="18"/>
      <c r="ANX224" s="18"/>
      <c r="ANY224" s="18"/>
      <c r="ANZ224" s="18"/>
      <c r="AOA224" s="18"/>
      <c r="AOB224" s="18"/>
      <c r="AOC224" s="18"/>
      <c r="AOD224" s="18"/>
      <c r="AOE224" s="18"/>
      <c r="AOF224" s="18"/>
      <c r="AOG224" s="18"/>
      <c r="AOH224" s="18"/>
      <c r="AOI224" s="18"/>
      <c r="AOJ224" s="18"/>
      <c r="AOK224" s="18"/>
      <c r="AOL224" s="18"/>
      <c r="AOM224" s="18"/>
      <c r="AON224" s="18"/>
      <c r="AOO224" s="18"/>
      <c r="AOP224" s="18"/>
      <c r="AOQ224" s="18"/>
      <c r="AOR224" s="18"/>
      <c r="AOS224" s="18"/>
      <c r="AOT224" s="18"/>
      <c r="AOU224" s="18"/>
      <c r="AOV224" s="18"/>
      <c r="AOW224" s="18"/>
      <c r="AOX224" s="18"/>
      <c r="AOY224" s="18"/>
      <c r="AOZ224" s="18"/>
      <c r="APA224" s="18"/>
      <c r="APB224" s="18"/>
      <c r="APC224" s="18"/>
      <c r="APD224" s="18"/>
      <c r="APE224" s="18"/>
      <c r="APF224" s="18"/>
      <c r="APG224" s="18"/>
      <c r="APH224" s="18"/>
      <c r="API224" s="18"/>
      <c r="APJ224" s="18"/>
      <c r="APK224" s="18"/>
      <c r="APL224" s="18"/>
      <c r="APM224" s="18"/>
      <c r="APN224" s="18"/>
      <c r="APO224" s="18"/>
      <c r="APP224" s="18"/>
      <c r="APQ224" s="18"/>
      <c r="APR224" s="18"/>
      <c r="APS224" s="18"/>
      <c r="APT224" s="18"/>
      <c r="APU224" s="18"/>
      <c r="APV224" s="18"/>
      <c r="APW224" s="18"/>
      <c r="APX224" s="18"/>
      <c r="APY224" s="18"/>
      <c r="APZ224" s="18"/>
      <c r="AQA224" s="18"/>
      <c r="AQB224" s="18"/>
      <c r="AQC224" s="18"/>
      <c r="AQD224" s="18"/>
      <c r="AQE224" s="18"/>
      <c r="AQF224" s="18"/>
      <c r="AQG224" s="18"/>
      <c r="AQH224" s="18"/>
      <c r="AQI224" s="18"/>
      <c r="AQJ224" s="18"/>
      <c r="AQK224" s="18"/>
      <c r="AQL224" s="18"/>
      <c r="AQM224" s="18"/>
      <c r="AQN224" s="18"/>
      <c r="AQO224" s="18"/>
      <c r="AQP224" s="18"/>
      <c r="AQQ224" s="18"/>
      <c r="AQR224" s="18"/>
      <c r="AQS224" s="18"/>
      <c r="AQT224" s="18"/>
      <c r="AQU224" s="18"/>
      <c r="AQV224" s="18"/>
      <c r="AQW224" s="18"/>
      <c r="AQX224" s="18"/>
      <c r="AQY224" s="18"/>
      <c r="AQZ224" s="18"/>
      <c r="ARA224" s="18"/>
      <c r="ARB224" s="18"/>
      <c r="ARC224" s="18"/>
      <c r="ARD224" s="18"/>
      <c r="ARE224" s="18"/>
      <c r="ARF224" s="18"/>
      <c r="ARG224" s="18"/>
      <c r="ARH224" s="18"/>
      <c r="ARI224" s="18"/>
      <c r="ARJ224" s="18"/>
      <c r="ARK224" s="18"/>
      <c r="ARL224" s="18"/>
      <c r="ARM224" s="18"/>
      <c r="ARN224" s="18"/>
      <c r="ARO224" s="18"/>
      <c r="ARP224" s="18"/>
      <c r="ARQ224" s="18"/>
      <c r="ARR224" s="18"/>
      <c r="ARS224" s="18"/>
      <c r="ART224" s="18"/>
      <c r="ARU224" s="18"/>
      <c r="ARV224" s="18"/>
      <c r="ARW224" s="18"/>
      <c r="ARX224" s="18"/>
      <c r="ARY224" s="18"/>
      <c r="ARZ224" s="18"/>
      <c r="ASA224" s="18"/>
      <c r="ASB224" s="18"/>
      <c r="ASC224" s="18"/>
      <c r="ASD224" s="18"/>
      <c r="ASE224" s="18"/>
      <c r="ASF224" s="18"/>
      <c r="ASG224" s="18"/>
      <c r="ASH224" s="18"/>
      <c r="ASI224" s="18"/>
      <c r="ASJ224" s="18"/>
      <c r="ASK224" s="18"/>
      <c r="ASL224" s="18"/>
      <c r="ASM224" s="18"/>
      <c r="ASN224" s="18"/>
      <c r="ASO224" s="18"/>
      <c r="ASP224" s="18"/>
      <c r="ASQ224" s="18"/>
      <c r="ASR224" s="18"/>
      <c r="ASS224" s="18"/>
      <c r="AST224" s="18"/>
      <c r="ASU224" s="18"/>
      <c r="ASV224" s="18"/>
      <c r="ASW224" s="18"/>
      <c r="ASX224" s="18"/>
      <c r="ASY224" s="18"/>
      <c r="ASZ224" s="18"/>
      <c r="ATA224" s="18"/>
      <c r="ATB224" s="18"/>
      <c r="ATC224" s="18"/>
      <c r="ATD224" s="18"/>
      <c r="ATE224" s="18"/>
      <c r="ATF224" s="18"/>
      <c r="ATG224" s="18"/>
      <c r="ATH224" s="18"/>
      <c r="ATI224" s="18"/>
      <c r="ATJ224" s="18"/>
      <c r="ATK224" s="18"/>
      <c r="ATL224" s="18"/>
      <c r="ATM224" s="18"/>
      <c r="ATN224" s="18"/>
      <c r="ATO224" s="18"/>
      <c r="ATP224" s="18"/>
      <c r="ATQ224" s="18"/>
      <c r="ATR224" s="18"/>
      <c r="ATS224" s="18"/>
      <c r="ATT224" s="18"/>
      <c r="ATU224" s="18"/>
      <c r="ATV224" s="18"/>
      <c r="ATW224" s="18"/>
      <c r="ATX224" s="18"/>
      <c r="ATY224" s="18"/>
      <c r="ATZ224" s="18"/>
      <c r="AUA224" s="18"/>
      <c r="AUB224" s="18"/>
      <c r="AUC224" s="18"/>
      <c r="AUD224" s="18"/>
      <c r="AUE224" s="18"/>
      <c r="AUF224" s="18"/>
      <c r="AUG224" s="18"/>
      <c r="AUH224" s="18"/>
      <c r="AUI224" s="18"/>
      <c r="AUJ224" s="18"/>
      <c r="AUK224" s="18"/>
      <c r="AUL224" s="18"/>
      <c r="AUM224" s="18"/>
      <c r="AUN224" s="18"/>
      <c r="AUO224" s="18"/>
      <c r="AUP224" s="18"/>
      <c r="AUQ224" s="18"/>
      <c r="AUR224" s="18"/>
      <c r="AUS224" s="18"/>
      <c r="AUT224" s="18"/>
      <c r="AUU224" s="18"/>
      <c r="AUV224" s="18"/>
      <c r="AUW224" s="18"/>
      <c r="AUX224" s="18"/>
      <c r="AUY224" s="18"/>
      <c r="AUZ224" s="18"/>
      <c r="AVA224" s="18"/>
      <c r="AVB224" s="18"/>
      <c r="AVC224" s="18"/>
      <c r="AVD224" s="18"/>
      <c r="AVE224" s="18"/>
      <c r="AVF224" s="18"/>
      <c r="AVG224" s="18"/>
      <c r="AVH224" s="18"/>
      <c r="AVI224" s="18"/>
      <c r="AVJ224" s="18"/>
      <c r="AVK224" s="18"/>
      <c r="AVL224" s="18"/>
      <c r="AVM224" s="18"/>
      <c r="AVN224" s="18"/>
      <c r="AVO224" s="18"/>
      <c r="AVP224" s="18"/>
      <c r="AVQ224" s="18"/>
      <c r="AVR224" s="18"/>
      <c r="AVS224" s="18"/>
      <c r="AVT224" s="18"/>
      <c r="AVU224" s="18"/>
      <c r="AVV224" s="18"/>
      <c r="AVW224" s="18"/>
      <c r="AVX224" s="18"/>
      <c r="AVY224" s="18"/>
      <c r="AVZ224" s="18"/>
      <c r="AWA224" s="18"/>
      <c r="AWB224" s="18"/>
      <c r="AWC224" s="18"/>
      <c r="AWD224" s="18"/>
      <c r="AWE224" s="18"/>
      <c r="AWF224" s="18"/>
      <c r="AWG224" s="18"/>
      <c r="AWH224" s="18"/>
      <c r="AWI224" s="18"/>
      <c r="AWJ224" s="18"/>
      <c r="AWK224" s="18"/>
      <c r="AWL224" s="18"/>
      <c r="AWM224" s="18"/>
      <c r="AWN224" s="18"/>
      <c r="AWO224" s="18"/>
      <c r="AWP224" s="18"/>
      <c r="AWQ224" s="18"/>
      <c r="AWR224" s="18"/>
      <c r="AWS224" s="18"/>
      <c r="AWT224" s="18"/>
      <c r="AWU224" s="18"/>
      <c r="AWV224" s="18"/>
      <c r="AWW224" s="18"/>
      <c r="AWX224" s="18"/>
      <c r="AWY224" s="18"/>
      <c r="AWZ224" s="18"/>
      <c r="AXA224" s="18"/>
      <c r="AXB224" s="18"/>
      <c r="AXC224" s="18"/>
      <c r="AXD224" s="18"/>
      <c r="AXE224" s="18"/>
      <c r="AXF224" s="18"/>
      <c r="AXG224" s="18"/>
      <c r="AXH224" s="18"/>
      <c r="AXI224" s="18"/>
      <c r="AXJ224" s="18"/>
      <c r="AXK224" s="18"/>
      <c r="AXL224" s="18"/>
      <c r="AXM224" s="18"/>
      <c r="AXN224" s="18"/>
      <c r="AXO224" s="18"/>
      <c r="AXP224" s="18"/>
      <c r="AXQ224" s="18"/>
      <c r="AXR224" s="18"/>
      <c r="AXS224" s="18"/>
      <c r="AXT224" s="18"/>
      <c r="AXU224" s="18"/>
      <c r="AXV224" s="18"/>
      <c r="AXW224" s="18"/>
      <c r="AXX224" s="18"/>
      <c r="AXY224" s="18"/>
      <c r="AXZ224" s="18"/>
      <c r="AYA224" s="18"/>
      <c r="AYB224" s="18"/>
      <c r="AYC224" s="18"/>
      <c r="AYD224" s="18"/>
      <c r="AYE224" s="18"/>
      <c r="AYF224" s="18"/>
      <c r="AYG224" s="18"/>
      <c r="AYH224" s="18"/>
      <c r="AYI224" s="18"/>
      <c r="AYJ224" s="18"/>
      <c r="AYK224" s="18"/>
      <c r="AYL224" s="18"/>
      <c r="AYM224" s="18"/>
      <c r="AYN224" s="18"/>
      <c r="AYO224" s="18"/>
      <c r="AYP224" s="18"/>
      <c r="AYQ224" s="18"/>
      <c r="AYR224" s="18"/>
      <c r="AYS224" s="18"/>
      <c r="AYT224" s="18"/>
      <c r="AYU224" s="18"/>
      <c r="AYV224" s="18"/>
      <c r="AYW224" s="18"/>
      <c r="AYX224" s="18"/>
      <c r="AYY224" s="18"/>
      <c r="AYZ224" s="18"/>
      <c r="AZA224" s="18"/>
      <c r="AZB224" s="18"/>
      <c r="AZC224" s="18"/>
      <c r="AZD224" s="18"/>
      <c r="AZE224" s="18"/>
      <c r="AZF224" s="18"/>
      <c r="AZG224" s="18"/>
      <c r="AZH224" s="18"/>
      <c r="AZI224" s="18"/>
      <c r="AZJ224" s="18"/>
      <c r="AZK224" s="18"/>
      <c r="AZL224" s="18"/>
      <c r="AZM224" s="18"/>
      <c r="AZN224" s="18"/>
      <c r="AZO224" s="18"/>
      <c r="AZP224" s="18"/>
      <c r="AZQ224" s="18"/>
      <c r="AZR224" s="18"/>
      <c r="AZS224" s="18"/>
      <c r="AZT224" s="18"/>
      <c r="AZU224" s="18"/>
      <c r="AZV224" s="18"/>
      <c r="AZW224" s="18"/>
      <c r="AZX224" s="18"/>
      <c r="AZY224" s="18"/>
      <c r="AZZ224" s="18"/>
      <c r="BAA224" s="18"/>
      <c r="BAB224" s="18"/>
      <c r="BAC224" s="18"/>
      <c r="BAD224" s="18"/>
      <c r="BAE224" s="18"/>
      <c r="BAF224" s="18"/>
      <c r="BAG224" s="18"/>
      <c r="BAH224" s="18"/>
      <c r="BAI224" s="18"/>
      <c r="BAJ224" s="18"/>
      <c r="BAK224" s="18"/>
      <c r="BAL224" s="18"/>
      <c r="BAM224" s="18"/>
      <c r="BAN224" s="18"/>
      <c r="BAO224" s="18"/>
      <c r="BAP224" s="18"/>
      <c r="BAQ224" s="18"/>
      <c r="BAR224" s="18"/>
      <c r="BAS224" s="18"/>
      <c r="BAT224" s="18"/>
      <c r="BAU224" s="18"/>
      <c r="BAV224" s="18"/>
      <c r="BAW224" s="18"/>
      <c r="BAX224" s="18"/>
      <c r="BAY224" s="18"/>
      <c r="BAZ224" s="18"/>
      <c r="BBA224" s="18"/>
      <c r="BBB224" s="18"/>
      <c r="BBC224" s="18"/>
      <c r="BBD224" s="18"/>
      <c r="BBE224" s="18"/>
      <c r="BBF224" s="18"/>
      <c r="BBG224" s="18"/>
      <c r="BBH224" s="18"/>
      <c r="BBI224" s="18"/>
      <c r="BBJ224" s="18"/>
      <c r="BBK224" s="18"/>
      <c r="BBL224" s="18"/>
      <c r="BBM224" s="18"/>
      <c r="BBN224" s="18"/>
      <c r="BBO224" s="18"/>
      <c r="BBP224" s="18"/>
      <c r="BBQ224" s="18"/>
      <c r="BBR224" s="18"/>
      <c r="BBS224" s="18"/>
      <c r="BBT224" s="18"/>
      <c r="BBU224" s="18"/>
      <c r="BBV224" s="18"/>
      <c r="BBW224" s="18"/>
      <c r="BBX224" s="18"/>
      <c r="BBY224" s="18"/>
      <c r="BBZ224" s="18"/>
      <c r="BCA224" s="18"/>
      <c r="BCB224" s="18"/>
      <c r="BCC224" s="18"/>
      <c r="BCD224" s="18"/>
      <c r="BCE224" s="18"/>
      <c r="BCF224" s="18"/>
      <c r="BCG224" s="18"/>
      <c r="BCH224" s="18"/>
      <c r="BCI224" s="18"/>
      <c r="BCJ224" s="18"/>
      <c r="BCK224" s="18"/>
      <c r="BCL224" s="18"/>
      <c r="BCM224" s="18"/>
      <c r="BCN224" s="18"/>
      <c r="BCO224" s="18"/>
      <c r="BCP224" s="18"/>
      <c r="BCQ224" s="18"/>
      <c r="BCR224" s="18"/>
      <c r="BCS224" s="18"/>
      <c r="BCT224" s="18"/>
      <c r="BCU224" s="18"/>
      <c r="BCV224" s="18"/>
      <c r="BCW224" s="18"/>
      <c r="BCX224" s="18"/>
      <c r="BCY224" s="18"/>
      <c r="BCZ224" s="18"/>
      <c r="BDA224" s="18"/>
      <c r="BDB224" s="18"/>
      <c r="BDC224" s="18"/>
      <c r="BDD224" s="18"/>
      <c r="BDE224" s="18"/>
      <c r="BDF224" s="18"/>
      <c r="BDG224" s="18"/>
      <c r="BDH224" s="18"/>
      <c r="BDI224" s="18"/>
      <c r="BDJ224" s="18"/>
      <c r="BDK224" s="18"/>
      <c r="BDL224" s="18"/>
      <c r="BDM224" s="18"/>
      <c r="BDN224" s="18"/>
      <c r="BDO224" s="18"/>
      <c r="BDP224" s="18"/>
      <c r="BDQ224" s="18"/>
      <c r="BDR224" s="18"/>
      <c r="BDS224" s="18"/>
      <c r="BDT224" s="18"/>
      <c r="BDU224" s="18"/>
      <c r="BDV224" s="18"/>
      <c r="BDW224" s="18"/>
      <c r="BDX224" s="18"/>
      <c r="BDY224" s="18"/>
      <c r="BDZ224" s="18"/>
      <c r="BEA224" s="18"/>
      <c r="BEB224" s="18"/>
      <c r="BEC224" s="18"/>
      <c r="BED224" s="18"/>
      <c r="BEE224" s="18"/>
      <c r="BEF224" s="18"/>
      <c r="BEG224" s="18"/>
      <c r="BEH224" s="18"/>
      <c r="BEI224" s="18"/>
      <c r="BEJ224" s="18"/>
      <c r="BEK224" s="18"/>
      <c r="BEL224" s="18"/>
      <c r="BEM224" s="18"/>
      <c r="BEN224" s="18"/>
      <c r="BEO224" s="18"/>
      <c r="BEP224" s="18"/>
      <c r="BEQ224" s="18"/>
      <c r="BER224" s="18"/>
      <c r="BES224" s="18"/>
      <c r="BET224" s="18"/>
      <c r="BEU224" s="18"/>
      <c r="BEV224" s="18"/>
      <c r="BEW224" s="18"/>
      <c r="BEX224" s="18"/>
      <c r="BEY224" s="18"/>
      <c r="BEZ224" s="18"/>
      <c r="BFA224" s="18"/>
      <c r="BFB224" s="18"/>
      <c r="BFC224" s="18"/>
      <c r="BFD224" s="18"/>
      <c r="BFE224" s="18"/>
      <c r="BFF224" s="18"/>
      <c r="BFG224" s="18"/>
      <c r="BFH224" s="18"/>
      <c r="BFI224" s="18"/>
      <c r="BFJ224" s="18"/>
      <c r="BFK224" s="18"/>
      <c r="BFL224" s="18"/>
      <c r="BFM224" s="18"/>
      <c r="BFN224" s="18"/>
      <c r="BFO224" s="18"/>
      <c r="BFP224" s="18"/>
      <c r="BFQ224" s="18"/>
      <c r="BFR224" s="18"/>
      <c r="BFS224" s="18"/>
      <c r="BFT224" s="18"/>
      <c r="BFU224" s="18"/>
      <c r="BFV224" s="18"/>
      <c r="BFW224" s="18"/>
      <c r="BFX224" s="18"/>
      <c r="BFY224" s="18"/>
      <c r="BFZ224" s="18"/>
      <c r="BGA224" s="18"/>
      <c r="BGB224" s="18"/>
      <c r="BGC224" s="18"/>
      <c r="BGD224" s="18"/>
      <c r="BGE224" s="18"/>
      <c r="BGF224" s="18"/>
      <c r="BGG224" s="18"/>
      <c r="BGH224" s="18"/>
      <c r="BGI224" s="18"/>
      <c r="BGJ224" s="18"/>
      <c r="BGK224" s="18"/>
      <c r="BGL224" s="18"/>
      <c r="BGM224" s="18"/>
      <c r="BGN224" s="18"/>
      <c r="BGO224" s="18"/>
      <c r="BGP224" s="18"/>
      <c r="BGQ224" s="18"/>
      <c r="BGR224" s="18"/>
      <c r="BGS224" s="18"/>
      <c r="BGT224" s="18"/>
      <c r="BGU224" s="18"/>
      <c r="BGV224" s="18"/>
      <c r="BGW224" s="18"/>
      <c r="BGX224" s="18"/>
      <c r="BGY224" s="18"/>
      <c r="BGZ224" s="18"/>
      <c r="BHA224" s="18"/>
      <c r="BHB224" s="18"/>
      <c r="BHC224" s="18"/>
      <c r="BHD224" s="18"/>
      <c r="BHE224" s="18"/>
      <c r="BHF224" s="18"/>
      <c r="BHG224" s="18"/>
      <c r="BHH224" s="18"/>
      <c r="BHI224" s="18"/>
      <c r="BHJ224" s="18"/>
      <c r="BHK224" s="18"/>
      <c r="BHL224" s="18"/>
      <c r="BHM224" s="18"/>
      <c r="BHN224" s="18"/>
      <c r="BHO224" s="18"/>
      <c r="BHP224" s="18"/>
      <c r="BHQ224" s="18"/>
      <c r="BHR224" s="18"/>
      <c r="BHS224" s="18"/>
      <c r="BHT224" s="18"/>
      <c r="BHU224" s="18"/>
      <c r="BHV224" s="18"/>
      <c r="BHW224" s="18"/>
      <c r="BHX224" s="18"/>
      <c r="BHY224" s="18"/>
      <c r="BHZ224" s="18"/>
      <c r="BIA224" s="18"/>
      <c r="BIB224" s="18"/>
      <c r="BIC224" s="18"/>
      <c r="BID224" s="18"/>
      <c r="BIE224" s="18"/>
      <c r="BIF224" s="18"/>
      <c r="BIG224" s="18"/>
      <c r="BIH224" s="18"/>
      <c r="BII224" s="18"/>
      <c r="BIJ224" s="18"/>
      <c r="BIK224" s="18"/>
      <c r="BIL224" s="18"/>
      <c r="BIM224" s="18"/>
      <c r="BIN224" s="18"/>
      <c r="BIO224" s="18"/>
      <c r="BIP224" s="18"/>
      <c r="BIQ224" s="18"/>
      <c r="BIR224" s="18"/>
      <c r="BIS224" s="18"/>
      <c r="BIT224" s="18"/>
      <c r="BIU224" s="18"/>
      <c r="BIV224" s="18"/>
      <c r="BIW224" s="18"/>
      <c r="BIX224" s="18"/>
      <c r="BIY224" s="18"/>
      <c r="BIZ224" s="18"/>
      <c r="BJA224" s="18"/>
      <c r="BJB224" s="18"/>
      <c r="BJC224" s="18"/>
      <c r="BJD224" s="18"/>
      <c r="BJE224" s="18"/>
      <c r="BJF224" s="18"/>
      <c r="BJG224" s="18"/>
      <c r="BJH224" s="18"/>
      <c r="BJI224" s="18"/>
      <c r="BJJ224" s="18"/>
      <c r="BJK224" s="18"/>
      <c r="BJL224" s="18"/>
      <c r="BJM224" s="18"/>
      <c r="BJN224" s="18"/>
      <c r="BJO224" s="18"/>
      <c r="BJP224" s="18"/>
      <c r="BJQ224" s="18"/>
      <c r="BJR224" s="18"/>
      <c r="BJS224" s="18"/>
      <c r="BJT224" s="18"/>
      <c r="BJU224" s="18"/>
      <c r="BJV224" s="18"/>
      <c r="BJW224" s="18"/>
      <c r="BJX224" s="18"/>
      <c r="BJY224" s="18"/>
      <c r="BJZ224" s="18"/>
      <c r="BKA224" s="18"/>
      <c r="BKB224" s="18"/>
      <c r="BKC224" s="18"/>
      <c r="BKD224" s="18"/>
      <c r="BKE224" s="18"/>
      <c r="BKF224" s="18"/>
      <c r="BKG224" s="18"/>
      <c r="BKH224" s="18"/>
      <c r="BKI224" s="18"/>
      <c r="BKJ224" s="18"/>
      <c r="BKK224" s="18"/>
      <c r="BKL224" s="18"/>
      <c r="BKM224" s="18"/>
      <c r="BKN224" s="18"/>
      <c r="BKO224" s="18"/>
      <c r="BKP224" s="18"/>
      <c r="BKQ224" s="18"/>
      <c r="BKR224" s="18"/>
      <c r="BKS224" s="18"/>
      <c r="BKT224" s="18"/>
      <c r="BKU224" s="18"/>
      <c r="BKV224" s="18"/>
      <c r="BKW224" s="18"/>
      <c r="BKX224" s="18"/>
      <c r="BKY224" s="18"/>
      <c r="BKZ224" s="18"/>
      <c r="BLA224" s="18"/>
      <c r="BLB224" s="18"/>
      <c r="BLC224" s="18"/>
      <c r="BLD224" s="18"/>
      <c r="BLE224" s="18"/>
      <c r="BLF224" s="18"/>
      <c r="BLG224" s="18"/>
      <c r="BLH224" s="18"/>
      <c r="BLI224" s="18"/>
      <c r="BLJ224" s="18"/>
      <c r="BLK224" s="18"/>
      <c r="BLL224" s="18"/>
      <c r="BLM224" s="18"/>
      <c r="BLN224" s="18"/>
      <c r="BLO224" s="18"/>
      <c r="BLP224" s="18"/>
      <c r="BLQ224" s="18"/>
      <c r="BLR224" s="18"/>
      <c r="BLS224" s="18"/>
      <c r="BLT224" s="18"/>
      <c r="BLU224" s="18"/>
      <c r="BLV224" s="18"/>
      <c r="BLW224" s="18"/>
      <c r="BLX224" s="18"/>
      <c r="BLY224" s="18"/>
      <c r="BLZ224" s="18"/>
      <c r="BMA224" s="18"/>
      <c r="BMB224" s="18"/>
      <c r="BMC224" s="18"/>
      <c r="BMD224" s="18"/>
      <c r="BME224" s="18"/>
      <c r="BMF224" s="18"/>
      <c r="BMG224" s="18"/>
      <c r="BMH224" s="18"/>
      <c r="BMI224" s="18"/>
      <c r="BMJ224" s="18"/>
      <c r="BMK224" s="18"/>
      <c r="BML224" s="18"/>
      <c r="BMM224" s="18"/>
      <c r="BMN224" s="18"/>
      <c r="BMO224" s="18"/>
      <c r="BMP224" s="18"/>
      <c r="BMQ224" s="18"/>
      <c r="BMR224" s="18"/>
      <c r="BMS224" s="18"/>
      <c r="BMT224" s="18"/>
      <c r="BMU224" s="18"/>
      <c r="BMV224" s="18"/>
      <c r="BMW224" s="18"/>
      <c r="BMX224" s="18"/>
      <c r="BMY224" s="18"/>
      <c r="BMZ224" s="18"/>
      <c r="BNA224" s="18"/>
      <c r="BNB224" s="18"/>
      <c r="BNC224" s="18"/>
      <c r="BND224" s="18"/>
      <c r="BNE224" s="18"/>
      <c r="BNF224" s="18"/>
      <c r="BNG224" s="18"/>
      <c r="BNH224" s="18"/>
      <c r="BNI224" s="18"/>
      <c r="BNJ224" s="18"/>
      <c r="BNK224" s="18"/>
      <c r="BNL224" s="18"/>
      <c r="BNM224" s="18"/>
      <c r="BNN224" s="18"/>
      <c r="BNO224" s="18"/>
      <c r="BNP224" s="18"/>
      <c r="BNQ224" s="18"/>
      <c r="BNR224" s="18"/>
      <c r="BNS224" s="18"/>
      <c r="BNT224" s="18"/>
      <c r="BNU224" s="18"/>
      <c r="BNV224" s="18"/>
      <c r="BNW224" s="18"/>
      <c r="BNX224" s="18"/>
      <c r="BNY224" s="18"/>
      <c r="BNZ224" s="18"/>
      <c r="BOA224" s="18"/>
      <c r="BOB224" s="18"/>
      <c r="BOC224" s="18"/>
      <c r="BOD224" s="18"/>
      <c r="BOE224" s="18"/>
      <c r="BOF224" s="18"/>
      <c r="BOG224" s="18"/>
      <c r="BOH224" s="18"/>
      <c r="BOI224" s="18"/>
      <c r="BOJ224" s="18"/>
      <c r="BOK224" s="18"/>
      <c r="BOL224" s="18"/>
      <c r="BOM224" s="18"/>
      <c r="BON224" s="18"/>
      <c r="BOO224" s="18"/>
      <c r="BOP224" s="18"/>
      <c r="BOQ224" s="18"/>
      <c r="BOR224" s="18"/>
      <c r="BOS224" s="18"/>
      <c r="BOT224" s="18"/>
      <c r="BOU224" s="18"/>
      <c r="BOV224" s="18"/>
      <c r="BOW224" s="18"/>
      <c r="BOX224" s="18"/>
      <c r="BOY224" s="18"/>
      <c r="BOZ224" s="18"/>
      <c r="BPA224" s="18"/>
      <c r="BPB224" s="18"/>
      <c r="BPC224" s="18"/>
      <c r="BPD224" s="18"/>
      <c r="BPE224" s="18"/>
      <c r="BPF224" s="18"/>
      <c r="BPG224" s="18"/>
      <c r="BPH224" s="18"/>
      <c r="BPI224" s="18"/>
      <c r="BPJ224" s="18"/>
      <c r="BPK224" s="18"/>
      <c r="BPL224" s="18"/>
      <c r="BPM224" s="18"/>
      <c r="BPN224" s="18"/>
      <c r="BPO224" s="18"/>
      <c r="BPP224" s="18"/>
      <c r="BPQ224" s="18"/>
      <c r="BPR224" s="18"/>
      <c r="BPS224" s="18"/>
      <c r="BPT224" s="18"/>
      <c r="BPU224" s="18"/>
      <c r="BPV224" s="18"/>
      <c r="BPW224" s="18"/>
      <c r="BPX224" s="18"/>
      <c r="BPY224" s="18"/>
      <c r="BPZ224" s="18"/>
      <c r="BQA224" s="18"/>
      <c r="BQB224" s="18"/>
      <c r="BQC224" s="18"/>
      <c r="BQD224" s="18"/>
      <c r="BQE224" s="18"/>
      <c r="BQF224" s="18"/>
      <c r="BQG224" s="18"/>
      <c r="BQH224" s="18"/>
      <c r="BQI224" s="18"/>
      <c r="BQJ224" s="18"/>
      <c r="BQK224" s="18"/>
      <c r="BQL224" s="18"/>
      <c r="BQM224" s="18"/>
      <c r="BQN224" s="18"/>
      <c r="BQO224" s="18"/>
      <c r="BQP224" s="18"/>
      <c r="BQQ224" s="18"/>
      <c r="BQR224" s="18"/>
      <c r="BQS224" s="18"/>
      <c r="BQT224" s="18"/>
      <c r="BQU224" s="18"/>
      <c r="BQV224" s="18"/>
      <c r="BQW224" s="18"/>
      <c r="BQX224" s="18"/>
      <c r="BQY224" s="18"/>
      <c r="BQZ224" s="18"/>
      <c r="BRA224" s="18"/>
      <c r="BRB224" s="18"/>
      <c r="BRC224" s="18"/>
      <c r="BRD224" s="18"/>
      <c r="BRE224" s="18"/>
      <c r="BRF224" s="18"/>
      <c r="BRG224" s="18"/>
      <c r="BRH224" s="18"/>
      <c r="BRI224" s="18"/>
      <c r="BRJ224" s="18"/>
      <c r="BRK224" s="18"/>
      <c r="BRL224" s="18"/>
      <c r="BRM224" s="18"/>
      <c r="BRN224" s="18"/>
      <c r="BRO224" s="18"/>
      <c r="BRP224" s="18"/>
      <c r="BRQ224" s="18"/>
      <c r="BRR224" s="18"/>
      <c r="BRS224" s="18"/>
      <c r="BRT224" s="18"/>
      <c r="BRU224" s="18"/>
      <c r="BRV224" s="18"/>
      <c r="BRW224" s="18"/>
      <c r="BRX224" s="18"/>
      <c r="BRY224" s="18"/>
      <c r="BRZ224" s="18"/>
      <c r="BSA224" s="18"/>
      <c r="BSB224" s="18"/>
      <c r="BSC224" s="18"/>
      <c r="BSD224" s="18"/>
      <c r="BSE224" s="18"/>
      <c r="BSF224" s="18"/>
      <c r="BSG224" s="18"/>
      <c r="BSH224" s="18"/>
      <c r="BSI224" s="18"/>
      <c r="BSJ224" s="18"/>
      <c r="BSK224" s="18"/>
      <c r="BSL224" s="18"/>
      <c r="BSM224" s="18"/>
      <c r="BSN224" s="18"/>
      <c r="BSO224" s="18"/>
      <c r="BSP224" s="18"/>
      <c r="BSQ224" s="18"/>
      <c r="BSR224" s="18"/>
      <c r="BSS224" s="18"/>
      <c r="BST224" s="18"/>
      <c r="BSU224" s="18"/>
      <c r="BSV224" s="18"/>
      <c r="BSW224" s="18"/>
      <c r="BSX224" s="18"/>
      <c r="BSY224" s="18"/>
      <c r="BSZ224" s="18"/>
      <c r="BTA224" s="18"/>
      <c r="BTB224" s="18"/>
      <c r="BTC224" s="18"/>
      <c r="BTD224" s="18"/>
      <c r="BTE224" s="18"/>
      <c r="BTF224" s="18"/>
      <c r="BTG224" s="18"/>
      <c r="BTH224" s="18"/>
      <c r="BTI224" s="18"/>
    </row>
    <row r="225" spans="1:1881" s="426" customFormat="1" ht="30.75" customHeight="1" x14ac:dyDescent="0.3">
      <c r="A225" s="100"/>
      <c r="B225" s="737" t="s">
        <v>284</v>
      </c>
      <c r="C225" s="710"/>
      <c r="D225" s="89"/>
      <c r="E225" s="425"/>
      <c r="F225" s="428"/>
      <c r="G225" s="400"/>
      <c r="H225" s="17"/>
      <c r="I225" s="17"/>
      <c r="J225" s="72"/>
      <c r="K225"/>
      <c r="L225" s="547"/>
      <c r="M225"/>
      <c r="N225" s="18"/>
      <c r="O225" s="186"/>
      <c r="P225" s="18"/>
      <c r="Q225" s="18"/>
      <c r="R225" s="18"/>
      <c r="S225" s="18"/>
      <c r="T225" s="18"/>
      <c r="U225" s="18"/>
      <c r="V225" s="18"/>
      <c r="W225" s="18"/>
      <c r="X225" s="18"/>
      <c r="Y225" s="18"/>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18"/>
      <c r="JH225" s="18"/>
      <c r="JI225" s="18"/>
      <c r="JJ225" s="18"/>
      <c r="JK225" s="18"/>
      <c r="JL225" s="18"/>
      <c r="JM225" s="18"/>
      <c r="JN225" s="18"/>
      <c r="JO225" s="18"/>
      <c r="JP225" s="18"/>
      <c r="JQ225" s="18"/>
      <c r="JR225" s="18"/>
      <c r="JS225" s="18"/>
      <c r="JT225" s="18"/>
      <c r="JU225" s="18"/>
      <c r="JV225" s="18"/>
      <c r="JW225" s="18"/>
      <c r="JX225" s="18"/>
      <c r="JY225" s="18"/>
      <c r="JZ225" s="18"/>
      <c r="KA225" s="18"/>
      <c r="KB225" s="18"/>
      <c r="KC225" s="18"/>
      <c r="KD225" s="18"/>
      <c r="KE225" s="18"/>
      <c r="KF225" s="18"/>
      <c r="KG225" s="18"/>
      <c r="KH225" s="18"/>
      <c r="KI225" s="18"/>
      <c r="KJ225" s="18"/>
      <c r="KK225" s="18"/>
      <c r="KL225" s="18"/>
      <c r="KM225" s="18"/>
      <c r="KN225" s="18"/>
      <c r="KO225" s="18"/>
      <c r="KP225" s="18"/>
      <c r="KQ225" s="18"/>
      <c r="KR225" s="18"/>
      <c r="KS225" s="18"/>
      <c r="KT225" s="18"/>
      <c r="KU225" s="18"/>
      <c r="KV225" s="18"/>
      <c r="KW225" s="18"/>
      <c r="KX225" s="18"/>
      <c r="KY225" s="18"/>
      <c r="KZ225" s="18"/>
      <c r="LA225" s="18"/>
      <c r="LB225" s="18"/>
      <c r="LC225" s="18"/>
      <c r="LD225" s="18"/>
      <c r="LE225" s="18"/>
      <c r="LF225" s="18"/>
      <c r="LG225" s="18"/>
      <c r="LH225" s="18"/>
      <c r="LI225" s="18"/>
      <c r="LJ225" s="18"/>
      <c r="LK225" s="18"/>
      <c r="LL225" s="18"/>
      <c r="LM225" s="18"/>
      <c r="LN225" s="18"/>
      <c r="LO225" s="18"/>
      <c r="LP225" s="18"/>
      <c r="LQ225" s="18"/>
      <c r="LR225" s="18"/>
      <c r="LS225" s="18"/>
      <c r="LT225" s="18"/>
      <c r="LU225" s="18"/>
      <c r="LV225" s="18"/>
      <c r="LW225" s="18"/>
      <c r="LX225" s="18"/>
      <c r="LY225" s="18"/>
      <c r="LZ225" s="18"/>
      <c r="MA225" s="18"/>
      <c r="MB225" s="18"/>
      <c r="MC225" s="18"/>
      <c r="MD225" s="18"/>
      <c r="ME225" s="18"/>
      <c r="MF225" s="18"/>
      <c r="MG225" s="18"/>
      <c r="MH225" s="18"/>
      <c r="MI225" s="18"/>
      <c r="MJ225" s="18"/>
      <c r="MK225" s="18"/>
      <c r="ML225" s="18"/>
      <c r="MM225" s="18"/>
      <c r="MN225" s="18"/>
      <c r="MO225" s="18"/>
      <c r="MP225" s="18"/>
      <c r="MQ225" s="18"/>
      <c r="MR225" s="18"/>
      <c r="MS225" s="18"/>
      <c r="MT225" s="18"/>
      <c r="MU225" s="18"/>
      <c r="MV225" s="18"/>
      <c r="MW225" s="18"/>
      <c r="MX225" s="18"/>
      <c r="MY225" s="18"/>
      <c r="MZ225" s="18"/>
      <c r="NA225" s="18"/>
      <c r="NB225" s="18"/>
      <c r="NC225" s="18"/>
      <c r="ND225" s="18"/>
      <c r="NE225" s="18"/>
      <c r="NF225" s="18"/>
      <c r="NG225" s="18"/>
      <c r="NH225" s="18"/>
      <c r="NI225" s="18"/>
      <c r="NJ225" s="18"/>
      <c r="NK225" s="18"/>
      <c r="NL225" s="18"/>
      <c r="NM225" s="18"/>
      <c r="NN225" s="18"/>
      <c r="NO225" s="18"/>
      <c r="NP225" s="18"/>
      <c r="NQ225" s="18"/>
      <c r="NR225" s="18"/>
      <c r="NS225" s="18"/>
      <c r="NT225" s="18"/>
      <c r="NU225" s="18"/>
      <c r="NV225" s="18"/>
      <c r="NW225" s="18"/>
      <c r="NX225" s="18"/>
      <c r="NY225" s="18"/>
      <c r="NZ225" s="18"/>
      <c r="OA225" s="18"/>
      <c r="OB225" s="18"/>
      <c r="OC225" s="18"/>
      <c r="OD225" s="18"/>
      <c r="OE225" s="18"/>
      <c r="OF225" s="18"/>
      <c r="OG225" s="18"/>
      <c r="OH225" s="18"/>
      <c r="OI225" s="18"/>
      <c r="OJ225" s="18"/>
      <c r="OK225" s="18"/>
      <c r="OL225" s="18"/>
      <c r="OM225" s="18"/>
      <c r="ON225" s="18"/>
      <c r="OO225" s="18"/>
      <c r="OP225" s="18"/>
      <c r="OQ225" s="18"/>
      <c r="OR225" s="18"/>
      <c r="OS225" s="18"/>
      <c r="OT225" s="18"/>
      <c r="OU225" s="18"/>
      <c r="OV225" s="18"/>
      <c r="OW225" s="18"/>
      <c r="OX225" s="18"/>
      <c r="OY225" s="18"/>
      <c r="OZ225" s="18"/>
      <c r="PA225" s="18"/>
      <c r="PB225" s="18"/>
      <c r="PC225" s="18"/>
      <c r="PD225" s="18"/>
      <c r="PE225" s="18"/>
      <c r="PF225" s="18"/>
      <c r="PG225" s="18"/>
      <c r="PH225" s="18"/>
      <c r="PI225" s="18"/>
      <c r="PJ225" s="18"/>
      <c r="PK225" s="18"/>
      <c r="PL225" s="18"/>
      <c r="PM225" s="18"/>
      <c r="PN225" s="18"/>
      <c r="PO225" s="18"/>
      <c r="PP225" s="18"/>
      <c r="PQ225" s="18"/>
      <c r="PR225" s="18"/>
      <c r="PS225" s="18"/>
      <c r="PT225" s="18"/>
      <c r="PU225" s="18"/>
      <c r="PV225" s="18"/>
      <c r="PW225" s="18"/>
      <c r="PX225" s="18"/>
      <c r="PY225" s="18"/>
      <c r="PZ225" s="18"/>
      <c r="QA225" s="18"/>
      <c r="QB225" s="18"/>
      <c r="QC225" s="18"/>
      <c r="QD225" s="18"/>
      <c r="QE225" s="18"/>
      <c r="QF225" s="18"/>
      <c r="QG225" s="18"/>
      <c r="QH225" s="18"/>
      <c r="QI225" s="18"/>
      <c r="QJ225" s="18"/>
      <c r="QK225" s="18"/>
      <c r="QL225" s="18"/>
      <c r="QM225" s="18"/>
      <c r="QN225" s="18"/>
      <c r="QO225" s="18"/>
      <c r="QP225" s="18"/>
      <c r="QQ225" s="18"/>
      <c r="QR225" s="18"/>
      <c r="QS225" s="18"/>
      <c r="QT225" s="18"/>
      <c r="QU225" s="18"/>
      <c r="QV225" s="18"/>
      <c r="QW225" s="18"/>
      <c r="QX225" s="18"/>
      <c r="QY225" s="18"/>
      <c r="QZ225" s="18"/>
      <c r="RA225" s="18"/>
      <c r="RB225" s="18"/>
      <c r="RC225" s="18"/>
      <c r="RD225" s="18"/>
      <c r="RE225" s="18"/>
      <c r="RF225" s="18"/>
      <c r="RG225" s="18"/>
      <c r="RH225" s="18"/>
      <c r="RI225" s="18"/>
      <c r="RJ225" s="18"/>
      <c r="RK225" s="18"/>
      <c r="RL225" s="18"/>
      <c r="RM225" s="18"/>
      <c r="RN225" s="18"/>
      <c r="RO225" s="18"/>
      <c r="RP225" s="18"/>
      <c r="RQ225" s="18"/>
      <c r="RR225" s="18"/>
      <c r="RS225" s="18"/>
      <c r="RT225" s="18"/>
      <c r="RU225" s="18"/>
      <c r="RV225" s="18"/>
      <c r="RW225" s="18"/>
      <c r="RX225" s="18"/>
      <c r="RY225" s="18"/>
      <c r="RZ225" s="18"/>
      <c r="SA225" s="18"/>
      <c r="SB225" s="18"/>
      <c r="SC225" s="18"/>
      <c r="SD225" s="18"/>
      <c r="SE225" s="18"/>
      <c r="SF225" s="18"/>
      <c r="SG225" s="18"/>
      <c r="SH225" s="18"/>
      <c r="SI225" s="18"/>
      <c r="SJ225" s="18"/>
      <c r="SK225" s="18"/>
      <c r="SL225" s="18"/>
      <c r="SM225" s="18"/>
      <c r="SN225" s="18"/>
      <c r="SO225" s="18"/>
      <c r="SP225" s="18"/>
      <c r="SQ225" s="18"/>
      <c r="SR225" s="18"/>
      <c r="SS225" s="18"/>
      <c r="ST225" s="18"/>
      <c r="SU225" s="18"/>
      <c r="SV225" s="18"/>
      <c r="SW225" s="18"/>
      <c r="SX225" s="18"/>
      <c r="SY225" s="18"/>
      <c r="SZ225" s="18"/>
      <c r="TA225" s="18"/>
      <c r="TB225" s="18"/>
      <c r="TC225" s="18"/>
      <c r="TD225" s="18"/>
      <c r="TE225" s="18"/>
      <c r="TF225" s="18"/>
      <c r="TG225" s="18"/>
      <c r="TH225" s="18"/>
      <c r="TI225" s="18"/>
      <c r="TJ225" s="18"/>
      <c r="TK225" s="18"/>
      <c r="TL225" s="18"/>
      <c r="TM225" s="18"/>
      <c r="TN225" s="18"/>
      <c r="TO225" s="18"/>
      <c r="TP225" s="18"/>
      <c r="TQ225" s="18"/>
      <c r="TR225" s="18"/>
      <c r="TS225" s="18"/>
      <c r="TT225" s="18"/>
      <c r="TU225" s="18"/>
      <c r="TV225" s="18"/>
      <c r="TW225" s="18"/>
      <c r="TX225" s="18"/>
      <c r="TY225" s="18"/>
      <c r="TZ225" s="18"/>
      <c r="UA225" s="18"/>
      <c r="UB225" s="18"/>
      <c r="UC225" s="18"/>
      <c r="UD225" s="18"/>
      <c r="UE225" s="18"/>
      <c r="UF225" s="18"/>
      <c r="UG225" s="18"/>
      <c r="UH225" s="18"/>
      <c r="UI225" s="18"/>
      <c r="UJ225" s="18"/>
      <c r="UK225" s="18"/>
      <c r="UL225" s="18"/>
      <c r="UM225" s="18"/>
      <c r="UN225" s="18"/>
      <c r="UO225" s="18"/>
      <c r="UP225" s="18"/>
      <c r="UQ225" s="18"/>
      <c r="UR225" s="18"/>
      <c r="US225" s="18"/>
      <c r="UT225" s="18"/>
      <c r="UU225" s="18"/>
      <c r="UV225" s="18"/>
      <c r="UW225" s="18"/>
      <c r="UX225" s="18"/>
      <c r="UY225" s="18"/>
      <c r="UZ225" s="18"/>
      <c r="VA225" s="18"/>
      <c r="VB225" s="18"/>
      <c r="VC225" s="18"/>
      <c r="VD225" s="18"/>
      <c r="VE225" s="18"/>
      <c r="VF225" s="18"/>
      <c r="VG225" s="18"/>
      <c r="VH225" s="18"/>
      <c r="VI225" s="18"/>
      <c r="VJ225" s="18"/>
      <c r="VK225" s="18"/>
      <c r="VL225" s="18"/>
      <c r="VM225" s="18"/>
      <c r="VN225" s="18"/>
      <c r="VO225" s="18"/>
      <c r="VP225" s="18"/>
      <c r="VQ225" s="18"/>
      <c r="VR225" s="18"/>
      <c r="VS225" s="18"/>
      <c r="VT225" s="18"/>
      <c r="VU225" s="18"/>
      <c r="VV225" s="18"/>
      <c r="VW225" s="18"/>
      <c r="VX225" s="18"/>
      <c r="VY225" s="18"/>
      <c r="VZ225" s="18"/>
      <c r="WA225" s="18"/>
      <c r="WB225" s="18"/>
      <c r="WC225" s="18"/>
      <c r="WD225" s="18"/>
      <c r="WE225" s="18"/>
      <c r="WF225" s="18"/>
      <c r="WG225" s="18"/>
      <c r="WH225" s="18"/>
      <c r="WI225" s="18"/>
      <c r="WJ225" s="18"/>
      <c r="WK225" s="18"/>
      <c r="WL225" s="18"/>
      <c r="WM225" s="18"/>
      <c r="WN225" s="18"/>
      <c r="WO225" s="18"/>
      <c r="WP225" s="18"/>
      <c r="WQ225" s="18"/>
      <c r="WR225" s="18"/>
      <c r="WS225" s="18"/>
      <c r="WT225" s="18"/>
      <c r="WU225" s="18"/>
      <c r="WV225" s="18"/>
      <c r="WW225" s="18"/>
      <c r="WX225" s="18"/>
      <c r="WY225" s="18"/>
      <c r="WZ225" s="18"/>
      <c r="XA225" s="18"/>
      <c r="XB225" s="18"/>
      <c r="XC225" s="18"/>
      <c r="XD225" s="18"/>
      <c r="XE225" s="18"/>
      <c r="XF225" s="18"/>
      <c r="XG225" s="18"/>
      <c r="XH225" s="18"/>
      <c r="XI225" s="18"/>
      <c r="XJ225" s="18"/>
      <c r="XK225" s="18"/>
      <c r="XL225" s="18"/>
      <c r="XM225" s="18"/>
      <c r="XN225" s="18"/>
      <c r="XO225" s="18"/>
      <c r="XP225" s="18"/>
      <c r="XQ225" s="18"/>
      <c r="XR225" s="18"/>
      <c r="XS225" s="18"/>
      <c r="XT225" s="18"/>
      <c r="XU225" s="18"/>
      <c r="XV225" s="18"/>
      <c r="XW225" s="18"/>
      <c r="XX225" s="18"/>
      <c r="XY225" s="18"/>
      <c r="XZ225" s="18"/>
      <c r="YA225" s="18"/>
      <c r="YB225" s="18"/>
      <c r="YC225" s="18"/>
      <c r="YD225" s="18"/>
      <c r="YE225" s="18"/>
      <c r="YF225" s="18"/>
      <c r="YG225" s="18"/>
      <c r="YH225" s="18"/>
      <c r="YI225" s="18"/>
      <c r="YJ225" s="18"/>
      <c r="YK225" s="18"/>
      <c r="YL225" s="18"/>
      <c r="YM225" s="18"/>
      <c r="YN225" s="18"/>
      <c r="YO225" s="18"/>
      <c r="YP225" s="18"/>
      <c r="YQ225" s="18"/>
      <c r="YR225" s="18"/>
      <c r="YS225" s="18"/>
      <c r="YT225" s="18"/>
      <c r="YU225" s="18"/>
      <c r="YV225" s="18"/>
      <c r="YW225" s="18"/>
      <c r="YX225" s="18"/>
      <c r="YY225" s="18"/>
      <c r="YZ225" s="18"/>
      <c r="ZA225" s="18"/>
      <c r="ZB225" s="18"/>
      <c r="ZC225" s="18"/>
      <c r="ZD225" s="18"/>
      <c r="ZE225" s="18"/>
      <c r="ZF225" s="18"/>
      <c r="ZG225" s="18"/>
      <c r="ZH225" s="18"/>
      <c r="ZI225" s="18"/>
      <c r="ZJ225" s="18"/>
      <c r="ZK225" s="18"/>
      <c r="ZL225" s="18"/>
      <c r="ZM225" s="18"/>
      <c r="ZN225" s="18"/>
      <c r="ZO225" s="18"/>
      <c r="ZP225" s="18"/>
      <c r="ZQ225" s="18"/>
      <c r="ZR225" s="18"/>
      <c r="ZS225" s="18"/>
      <c r="ZT225" s="18"/>
      <c r="ZU225" s="18"/>
      <c r="ZV225" s="18"/>
      <c r="ZW225" s="18"/>
      <c r="ZX225" s="18"/>
      <c r="ZY225" s="18"/>
      <c r="ZZ225" s="18"/>
      <c r="AAA225" s="18"/>
      <c r="AAB225" s="18"/>
      <c r="AAC225" s="18"/>
      <c r="AAD225" s="18"/>
      <c r="AAE225" s="18"/>
      <c r="AAF225" s="18"/>
      <c r="AAG225" s="18"/>
      <c r="AAH225" s="18"/>
      <c r="AAI225" s="18"/>
      <c r="AAJ225" s="18"/>
      <c r="AAK225" s="18"/>
      <c r="AAL225" s="18"/>
      <c r="AAM225" s="18"/>
      <c r="AAN225" s="18"/>
      <c r="AAO225" s="18"/>
      <c r="AAP225" s="18"/>
      <c r="AAQ225" s="18"/>
      <c r="AAR225" s="18"/>
      <c r="AAS225" s="18"/>
      <c r="AAT225" s="18"/>
      <c r="AAU225" s="18"/>
      <c r="AAV225" s="18"/>
      <c r="AAW225" s="18"/>
      <c r="AAX225" s="18"/>
      <c r="AAY225" s="18"/>
      <c r="AAZ225" s="18"/>
      <c r="ABA225" s="18"/>
      <c r="ABB225" s="18"/>
      <c r="ABC225" s="18"/>
      <c r="ABD225" s="18"/>
      <c r="ABE225" s="18"/>
      <c r="ABF225" s="18"/>
      <c r="ABG225" s="18"/>
      <c r="ABH225" s="18"/>
      <c r="ABI225" s="18"/>
      <c r="ABJ225" s="18"/>
      <c r="ABK225" s="18"/>
      <c r="ABL225" s="18"/>
      <c r="ABM225" s="18"/>
      <c r="ABN225" s="18"/>
      <c r="ABO225" s="18"/>
      <c r="ABP225" s="18"/>
      <c r="ABQ225" s="18"/>
      <c r="ABR225" s="18"/>
      <c r="ABS225" s="18"/>
      <c r="ABT225" s="18"/>
      <c r="ABU225" s="18"/>
      <c r="ABV225" s="18"/>
      <c r="ABW225" s="18"/>
      <c r="ABX225" s="18"/>
      <c r="ABY225" s="18"/>
      <c r="ABZ225" s="18"/>
      <c r="ACA225" s="18"/>
      <c r="ACB225" s="18"/>
      <c r="ACC225" s="18"/>
      <c r="ACD225" s="18"/>
      <c r="ACE225" s="18"/>
      <c r="ACF225" s="18"/>
      <c r="ACG225" s="18"/>
      <c r="ACH225" s="18"/>
      <c r="ACI225" s="18"/>
      <c r="ACJ225" s="18"/>
      <c r="ACK225" s="18"/>
      <c r="ACL225" s="18"/>
      <c r="ACM225" s="18"/>
      <c r="ACN225" s="18"/>
      <c r="ACO225" s="18"/>
      <c r="ACP225" s="18"/>
      <c r="ACQ225" s="18"/>
      <c r="ACR225" s="18"/>
      <c r="ACS225" s="18"/>
      <c r="ACT225" s="18"/>
      <c r="ACU225" s="18"/>
      <c r="ACV225" s="18"/>
      <c r="ACW225" s="18"/>
      <c r="ACX225" s="18"/>
      <c r="ACY225" s="18"/>
      <c r="ACZ225" s="18"/>
      <c r="ADA225" s="18"/>
      <c r="ADB225" s="18"/>
      <c r="ADC225" s="18"/>
      <c r="ADD225" s="18"/>
      <c r="ADE225" s="18"/>
      <c r="ADF225" s="18"/>
      <c r="ADG225" s="18"/>
      <c r="ADH225" s="18"/>
      <c r="ADI225" s="18"/>
      <c r="ADJ225" s="18"/>
      <c r="ADK225" s="18"/>
      <c r="ADL225" s="18"/>
      <c r="ADM225" s="18"/>
      <c r="ADN225" s="18"/>
      <c r="ADO225" s="18"/>
      <c r="ADP225" s="18"/>
      <c r="ADQ225" s="18"/>
      <c r="ADR225" s="18"/>
      <c r="ADS225" s="18"/>
      <c r="ADT225" s="18"/>
      <c r="ADU225" s="18"/>
      <c r="ADV225" s="18"/>
      <c r="ADW225" s="18"/>
      <c r="ADX225" s="18"/>
      <c r="ADY225" s="18"/>
      <c r="ADZ225" s="18"/>
      <c r="AEA225" s="18"/>
      <c r="AEB225" s="18"/>
      <c r="AEC225" s="18"/>
      <c r="AED225" s="18"/>
      <c r="AEE225" s="18"/>
      <c r="AEF225" s="18"/>
      <c r="AEG225" s="18"/>
      <c r="AEH225" s="18"/>
      <c r="AEI225" s="18"/>
      <c r="AEJ225" s="18"/>
      <c r="AEK225" s="18"/>
      <c r="AEL225" s="18"/>
      <c r="AEM225" s="18"/>
      <c r="AEN225" s="18"/>
      <c r="AEO225" s="18"/>
      <c r="AEP225" s="18"/>
      <c r="AEQ225" s="18"/>
      <c r="AER225" s="18"/>
      <c r="AES225" s="18"/>
      <c r="AET225" s="18"/>
      <c r="AEU225" s="18"/>
      <c r="AEV225" s="18"/>
      <c r="AEW225" s="18"/>
      <c r="AEX225" s="18"/>
      <c r="AEY225" s="18"/>
      <c r="AEZ225" s="18"/>
      <c r="AFA225" s="18"/>
      <c r="AFB225" s="18"/>
      <c r="AFC225" s="18"/>
      <c r="AFD225" s="18"/>
      <c r="AFE225" s="18"/>
      <c r="AFF225" s="18"/>
      <c r="AFG225" s="18"/>
      <c r="AFH225" s="18"/>
      <c r="AFI225" s="18"/>
      <c r="AFJ225" s="18"/>
      <c r="AFK225" s="18"/>
      <c r="AFL225" s="18"/>
      <c r="AFM225" s="18"/>
      <c r="AFN225" s="18"/>
      <c r="AFO225" s="18"/>
      <c r="AFP225" s="18"/>
      <c r="AFQ225" s="18"/>
      <c r="AFR225" s="18"/>
      <c r="AFS225" s="18"/>
      <c r="AFT225" s="18"/>
      <c r="AFU225" s="18"/>
      <c r="AFV225" s="18"/>
      <c r="AFW225" s="18"/>
      <c r="AFX225" s="18"/>
      <c r="AFY225" s="18"/>
      <c r="AFZ225" s="18"/>
      <c r="AGA225" s="18"/>
      <c r="AGB225" s="18"/>
      <c r="AGC225" s="18"/>
      <c r="AGD225" s="18"/>
      <c r="AGE225" s="18"/>
      <c r="AGF225" s="18"/>
      <c r="AGG225" s="18"/>
      <c r="AGH225" s="18"/>
      <c r="AGI225" s="18"/>
      <c r="AGJ225" s="18"/>
      <c r="AGK225" s="18"/>
      <c r="AGL225" s="18"/>
      <c r="AGM225" s="18"/>
      <c r="AGN225" s="18"/>
      <c r="AGO225" s="18"/>
      <c r="AGP225" s="18"/>
      <c r="AGQ225" s="18"/>
      <c r="AGR225" s="18"/>
      <c r="AGS225" s="18"/>
      <c r="AGT225" s="18"/>
      <c r="AGU225" s="18"/>
      <c r="AGV225" s="18"/>
      <c r="AGW225" s="18"/>
      <c r="AGX225" s="18"/>
      <c r="AGY225" s="18"/>
      <c r="AGZ225" s="18"/>
      <c r="AHA225" s="18"/>
      <c r="AHB225" s="18"/>
      <c r="AHC225" s="18"/>
      <c r="AHD225" s="18"/>
      <c r="AHE225" s="18"/>
      <c r="AHF225" s="18"/>
      <c r="AHG225" s="18"/>
      <c r="AHH225" s="18"/>
      <c r="AHI225" s="18"/>
      <c r="AHJ225" s="18"/>
      <c r="AHK225" s="18"/>
      <c r="AHL225" s="18"/>
      <c r="AHM225" s="18"/>
      <c r="AHN225" s="18"/>
      <c r="AHO225" s="18"/>
      <c r="AHP225" s="18"/>
      <c r="AHQ225" s="18"/>
      <c r="AHR225" s="18"/>
      <c r="AHS225" s="18"/>
      <c r="AHT225" s="18"/>
      <c r="AHU225" s="18"/>
      <c r="AHV225" s="18"/>
      <c r="AHW225" s="18"/>
      <c r="AHX225" s="18"/>
      <c r="AHY225" s="18"/>
      <c r="AHZ225" s="18"/>
      <c r="AIA225" s="18"/>
      <c r="AIB225" s="18"/>
      <c r="AIC225" s="18"/>
      <c r="AID225" s="18"/>
      <c r="AIE225" s="18"/>
      <c r="AIF225" s="18"/>
      <c r="AIG225" s="18"/>
      <c r="AIH225" s="18"/>
      <c r="AII225" s="18"/>
      <c r="AIJ225" s="18"/>
      <c r="AIK225" s="18"/>
      <c r="AIL225" s="18"/>
      <c r="AIM225" s="18"/>
      <c r="AIN225" s="18"/>
      <c r="AIO225" s="18"/>
      <c r="AIP225" s="18"/>
      <c r="AIQ225" s="18"/>
      <c r="AIR225" s="18"/>
      <c r="AIS225" s="18"/>
      <c r="AIT225" s="18"/>
      <c r="AIU225" s="18"/>
      <c r="AIV225" s="18"/>
      <c r="AIW225" s="18"/>
      <c r="AIX225" s="18"/>
      <c r="AIY225" s="18"/>
      <c r="AIZ225" s="18"/>
      <c r="AJA225" s="18"/>
      <c r="AJB225" s="18"/>
      <c r="AJC225" s="18"/>
      <c r="AJD225" s="18"/>
      <c r="AJE225" s="18"/>
      <c r="AJF225" s="18"/>
      <c r="AJG225" s="18"/>
      <c r="AJH225" s="18"/>
      <c r="AJI225" s="18"/>
      <c r="AJJ225" s="18"/>
      <c r="AJK225" s="18"/>
      <c r="AJL225" s="18"/>
      <c r="AJM225" s="18"/>
      <c r="AJN225" s="18"/>
      <c r="AJO225" s="18"/>
      <c r="AJP225" s="18"/>
      <c r="AJQ225" s="18"/>
      <c r="AJR225" s="18"/>
      <c r="AJS225" s="18"/>
      <c r="AJT225" s="18"/>
      <c r="AJU225" s="18"/>
      <c r="AJV225" s="18"/>
      <c r="AJW225" s="18"/>
      <c r="AJX225" s="18"/>
      <c r="AJY225" s="18"/>
      <c r="AJZ225" s="18"/>
      <c r="AKA225" s="18"/>
      <c r="AKB225" s="18"/>
      <c r="AKC225" s="18"/>
      <c r="AKD225" s="18"/>
      <c r="AKE225" s="18"/>
      <c r="AKF225" s="18"/>
      <c r="AKG225" s="18"/>
      <c r="AKH225" s="18"/>
      <c r="AKI225" s="18"/>
      <c r="AKJ225" s="18"/>
      <c r="AKK225" s="18"/>
      <c r="AKL225" s="18"/>
      <c r="AKM225" s="18"/>
      <c r="AKN225" s="18"/>
      <c r="AKO225" s="18"/>
      <c r="AKP225" s="18"/>
      <c r="AKQ225" s="18"/>
      <c r="AKR225" s="18"/>
      <c r="AKS225" s="18"/>
      <c r="AKT225" s="18"/>
      <c r="AKU225" s="18"/>
      <c r="AKV225" s="18"/>
      <c r="AKW225" s="18"/>
      <c r="AKX225" s="18"/>
      <c r="AKY225" s="18"/>
      <c r="AKZ225" s="18"/>
      <c r="ALA225" s="18"/>
      <c r="ALB225" s="18"/>
      <c r="ALC225" s="18"/>
      <c r="ALD225" s="18"/>
      <c r="ALE225" s="18"/>
      <c r="ALF225" s="18"/>
      <c r="ALG225" s="18"/>
      <c r="ALH225" s="18"/>
      <c r="ALI225" s="18"/>
      <c r="ALJ225" s="18"/>
      <c r="ALK225" s="18"/>
      <c r="ALL225" s="18"/>
      <c r="ALM225" s="18"/>
      <c r="ALN225" s="18"/>
      <c r="ALO225" s="18"/>
      <c r="ALP225" s="18"/>
      <c r="ALQ225" s="18"/>
      <c r="ALR225" s="18"/>
      <c r="ALS225" s="18"/>
      <c r="ALT225" s="18"/>
      <c r="ALU225" s="18"/>
      <c r="ALV225" s="18"/>
      <c r="ALW225" s="18"/>
      <c r="ALX225" s="18"/>
      <c r="ALY225" s="18"/>
      <c r="ALZ225" s="18"/>
      <c r="AMA225" s="18"/>
      <c r="AMB225" s="18"/>
      <c r="AMC225" s="18"/>
      <c r="AMD225" s="18"/>
      <c r="AME225" s="18"/>
      <c r="AMF225" s="18"/>
      <c r="AMG225" s="18"/>
      <c r="AMH225" s="18"/>
      <c r="AMI225" s="18"/>
      <c r="AMJ225" s="18"/>
      <c r="AMK225" s="18"/>
      <c r="AML225" s="18"/>
      <c r="AMM225" s="18"/>
      <c r="AMN225" s="18"/>
      <c r="AMO225" s="18"/>
      <c r="AMP225" s="18"/>
      <c r="AMQ225" s="18"/>
      <c r="AMR225" s="18"/>
      <c r="AMS225" s="18"/>
      <c r="AMT225" s="18"/>
      <c r="AMU225" s="18"/>
      <c r="AMV225" s="18"/>
      <c r="AMW225" s="18"/>
      <c r="AMX225" s="18"/>
      <c r="AMY225" s="18"/>
      <c r="AMZ225" s="18"/>
      <c r="ANA225" s="18"/>
      <c r="ANB225" s="18"/>
      <c r="ANC225" s="18"/>
      <c r="AND225" s="18"/>
      <c r="ANE225" s="18"/>
      <c r="ANF225" s="18"/>
      <c r="ANG225" s="18"/>
      <c r="ANH225" s="18"/>
      <c r="ANI225" s="18"/>
      <c r="ANJ225" s="18"/>
      <c r="ANK225" s="18"/>
      <c r="ANL225" s="18"/>
      <c r="ANM225" s="18"/>
      <c r="ANN225" s="18"/>
      <c r="ANO225" s="18"/>
      <c r="ANP225" s="18"/>
      <c r="ANQ225" s="18"/>
      <c r="ANR225" s="18"/>
      <c r="ANS225" s="18"/>
      <c r="ANT225" s="18"/>
      <c r="ANU225" s="18"/>
      <c r="ANV225" s="18"/>
      <c r="ANW225" s="18"/>
      <c r="ANX225" s="18"/>
      <c r="ANY225" s="18"/>
      <c r="ANZ225" s="18"/>
      <c r="AOA225" s="18"/>
      <c r="AOB225" s="18"/>
      <c r="AOC225" s="18"/>
      <c r="AOD225" s="18"/>
      <c r="AOE225" s="18"/>
      <c r="AOF225" s="18"/>
      <c r="AOG225" s="18"/>
      <c r="AOH225" s="18"/>
      <c r="AOI225" s="18"/>
      <c r="AOJ225" s="18"/>
      <c r="AOK225" s="18"/>
      <c r="AOL225" s="18"/>
      <c r="AOM225" s="18"/>
      <c r="AON225" s="18"/>
      <c r="AOO225" s="18"/>
      <c r="AOP225" s="18"/>
      <c r="AOQ225" s="18"/>
      <c r="AOR225" s="18"/>
      <c r="AOS225" s="18"/>
      <c r="AOT225" s="18"/>
      <c r="AOU225" s="18"/>
      <c r="AOV225" s="18"/>
      <c r="AOW225" s="18"/>
      <c r="AOX225" s="18"/>
      <c r="AOY225" s="18"/>
      <c r="AOZ225" s="18"/>
      <c r="APA225" s="18"/>
      <c r="APB225" s="18"/>
      <c r="APC225" s="18"/>
      <c r="APD225" s="18"/>
      <c r="APE225" s="18"/>
      <c r="APF225" s="18"/>
      <c r="APG225" s="18"/>
      <c r="APH225" s="18"/>
      <c r="API225" s="18"/>
      <c r="APJ225" s="18"/>
      <c r="APK225" s="18"/>
      <c r="APL225" s="18"/>
      <c r="APM225" s="18"/>
      <c r="APN225" s="18"/>
      <c r="APO225" s="18"/>
      <c r="APP225" s="18"/>
      <c r="APQ225" s="18"/>
      <c r="APR225" s="18"/>
      <c r="APS225" s="18"/>
      <c r="APT225" s="18"/>
      <c r="APU225" s="18"/>
      <c r="APV225" s="18"/>
      <c r="APW225" s="18"/>
      <c r="APX225" s="18"/>
      <c r="APY225" s="18"/>
      <c r="APZ225" s="18"/>
      <c r="AQA225" s="18"/>
      <c r="AQB225" s="18"/>
      <c r="AQC225" s="18"/>
      <c r="AQD225" s="18"/>
      <c r="AQE225" s="18"/>
      <c r="AQF225" s="18"/>
      <c r="AQG225" s="18"/>
      <c r="AQH225" s="18"/>
      <c r="AQI225" s="18"/>
      <c r="AQJ225" s="18"/>
      <c r="AQK225" s="18"/>
      <c r="AQL225" s="18"/>
      <c r="AQM225" s="18"/>
      <c r="AQN225" s="18"/>
      <c r="AQO225" s="18"/>
      <c r="AQP225" s="18"/>
      <c r="AQQ225" s="18"/>
      <c r="AQR225" s="18"/>
      <c r="AQS225" s="18"/>
      <c r="AQT225" s="18"/>
      <c r="AQU225" s="18"/>
      <c r="AQV225" s="18"/>
      <c r="AQW225" s="18"/>
      <c r="AQX225" s="18"/>
      <c r="AQY225" s="18"/>
      <c r="AQZ225" s="18"/>
      <c r="ARA225" s="18"/>
      <c r="ARB225" s="18"/>
      <c r="ARC225" s="18"/>
      <c r="ARD225" s="18"/>
      <c r="ARE225" s="18"/>
      <c r="ARF225" s="18"/>
      <c r="ARG225" s="18"/>
      <c r="ARH225" s="18"/>
      <c r="ARI225" s="18"/>
      <c r="ARJ225" s="18"/>
      <c r="ARK225" s="18"/>
      <c r="ARL225" s="18"/>
      <c r="ARM225" s="18"/>
      <c r="ARN225" s="18"/>
      <c r="ARO225" s="18"/>
      <c r="ARP225" s="18"/>
      <c r="ARQ225" s="18"/>
      <c r="ARR225" s="18"/>
      <c r="ARS225" s="18"/>
      <c r="ART225" s="18"/>
      <c r="ARU225" s="18"/>
      <c r="ARV225" s="18"/>
      <c r="ARW225" s="18"/>
      <c r="ARX225" s="18"/>
      <c r="ARY225" s="18"/>
      <c r="ARZ225" s="18"/>
      <c r="ASA225" s="18"/>
      <c r="ASB225" s="18"/>
      <c r="ASC225" s="18"/>
      <c r="ASD225" s="18"/>
      <c r="ASE225" s="18"/>
      <c r="ASF225" s="18"/>
      <c r="ASG225" s="18"/>
      <c r="ASH225" s="18"/>
      <c r="ASI225" s="18"/>
      <c r="ASJ225" s="18"/>
      <c r="ASK225" s="18"/>
      <c r="ASL225" s="18"/>
      <c r="ASM225" s="18"/>
      <c r="ASN225" s="18"/>
      <c r="ASO225" s="18"/>
      <c r="ASP225" s="18"/>
      <c r="ASQ225" s="18"/>
      <c r="ASR225" s="18"/>
      <c r="ASS225" s="18"/>
      <c r="AST225" s="18"/>
      <c r="ASU225" s="18"/>
      <c r="ASV225" s="18"/>
      <c r="ASW225" s="18"/>
      <c r="ASX225" s="18"/>
      <c r="ASY225" s="18"/>
      <c r="ASZ225" s="18"/>
      <c r="ATA225" s="18"/>
      <c r="ATB225" s="18"/>
      <c r="ATC225" s="18"/>
      <c r="ATD225" s="18"/>
      <c r="ATE225" s="18"/>
      <c r="ATF225" s="18"/>
      <c r="ATG225" s="18"/>
      <c r="ATH225" s="18"/>
      <c r="ATI225" s="18"/>
      <c r="ATJ225" s="18"/>
      <c r="ATK225" s="18"/>
      <c r="ATL225" s="18"/>
      <c r="ATM225" s="18"/>
      <c r="ATN225" s="18"/>
      <c r="ATO225" s="18"/>
      <c r="ATP225" s="18"/>
      <c r="ATQ225" s="18"/>
      <c r="ATR225" s="18"/>
      <c r="ATS225" s="18"/>
      <c r="ATT225" s="18"/>
      <c r="ATU225" s="18"/>
      <c r="ATV225" s="18"/>
      <c r="ATW225" s="18"/>
      <c r="ATX225" s="18"/>
      <c r="ATY225" s="18"/>
      <c r="ATZ225" s="18"/>
      <c r="AUA225" s="18"/>
      <c r="AUB225" s="18"/>
      <c r="AUC225" s="18"/>
      <c r="AUD225" s="18"/>
      <c r="AUE225" s="18"/>
      <c r="AUF225" s="18"/>
      <c r="AUG225" s="18"/>
      <c r="AUH225" s="18"/>
      <c r="AUI225" s="18"/>
      <c r="AUJ225" s="18"/>
      <c r="AUK225" s="18"/>
      <c r="AUL225" s="18"/>
      <c r="AUM225" s="18"/>
      <c r="AUN225" s="18"/>
      <c r="AUO225" s="18"/>
      <c r="AUP225" s="18"/>
      <c r="AUQ225" s="18"/>
      <c r="AUR225" s="18"/>
      <c r="AUS225" s="18"/>
      <c r="AUT225" s="18"/>
      <c r="AUU225" s="18"/>
      <c r="AUV225" s="18"/>
      <c r="AUW225" s="18"/>
      <c r="AUX225" s="18"/>
      <c r="AUY225" s="18"/>
      <c r="AUZ225" s="18"/>
      <c r="AVA225" s="18"/>
      <c r="AVB225" s="18"/>
      <c r="AVC225" s="18"/>
      <c r="AVD225" s="18"/>
      <c r="AVE225" s="18"/>
      <c r="AVF225" s="18"/>
      <c r="AVG225" s="18"/>
      <c r="AVH225" s="18"/>
      <c r="AVI225" s="18"/>
      <c r="AVJ225" s="18"/>
      <c r="AVK225" s="18"/>
      <c r="AVL225" s="18"/>
      <c r="AVM225" s="18"/>
      <c r="AVN225" s="18"/>
      <c r="AVO225" s="18"/>
      <c r="AVP225" s="18"/>
      <c r="AVQ225" s="18"/>
      <c r="AVR225" s="18"/>
      <c r="AVS225" s="18"/>
      <c r="AVT225" s="18"/>
      <c r="AVU225" s="18"/>
      <c r="AVV225" s="18"/>
      <c r="AVW225" s="18"/>
      <c r="AVX225" s="18"/>
      <c r="AVY225" s="18"/>
      <c r="AVZ225" s="18"/>
      <c r="AWA225" s="18"/>
      <c r="AWB225" s="18"/>
      <c r="AWC225" s="18"/>
      <c r="AWD225" s="18"/>
      <c r="AWE225" s="18"/>
      <c r="AWF225" s="18"/>
      <c r="AWG225" s="18"/>
      <c r="AWH225" s="18"/>
      <c r="AWI225" s="18"/>
      <c r="AWJ225" s="18"/>
      <c r="AWK225" s="18"/>
      <c r="AWL225" s="18"/>
      <c r="AWM225" s="18"/>
      <c r="AWN225" s="18"/>
      <c r="AWO225" s="18"/>
      <c r="AWP225" s="18"/>
      <c r="AWQ225" s="18"/>
      <c r="AWR225" s="18"/>
      <c r="AWS225" s="18"/>
      <c r="AWT225" s="18"/>
      <c r="AWU225" s="18"/>
      <c r="AWV225" s="18"/>
      <c r="AWW225" s="18"/>
      <c r="AWX225" s="18"/>
      <c r="AWY225" s="18"/>
      <c r="AWZ225" s="18"/>
      <c r="AXA225" s="18"/>
      <c r="AXB225" s="18"/>
      <c r="AXC225" s="18"/>
      <c r="AXD225" s="18"/>
      <c r="AXE225" s="18"/>
      <c r="AXF225" s="18"/>
      <c r="AXG225" s="18"/>
      <c r="AXH225" s="18"/>
      <c r="AXI225" s="18"/>
      <c r="AXJ225" s="18"/>
      <c r="AXK225" s="18"/>
      <c r="AXL225" s="18"/>
      <c r="AXM225" s="18"/>
      <c r="AXN225" s="18"/>
      <c r="AXO225" s="18"/>
      <c r="AXP225" s="18"/>
      <c r="AXQ225" s="18"/>
      <c r="AXR225" s="18"/>
      <c r="AXS225" s="18"/>
      <c r="AXT225" s="18"/>
      <c r="AXU225" s="18"/>
      <c r="AXV225" s="18"/>
      <c r="AXW225" s="18"/>
      <c r="AXX225" s="18"/>
      <c r="AXY225" s="18"/>
      <c r="AXZ225" s="18"/>
      <c r="AYA225" s="18"/>
      <c r="AYB225" s="18"/>
      <c r="AYC225" s="18"/>
      <c r="AYD225" s="18"/>
      <c r="AYE225" s="18"/>
      <c r="AYF225" s="18"/>
      <c r="AYG225" s="18"/>
      <c r="AYH225" s="18"/>
      <c r="AYI225" s="18"/>
      <c r="AYJ225" s="18"/>
      <c r="AYK225" s="18"/>
      <c r="AYL225" s="18"/>
      <c r="AYM225" s="18"/>
      <c r="AYN225" s="18"/>
      <c r="AYO225" s="18"/>
      <c r="AYP225" s="18"/>
      <c r="AYQ225" s="18"/>
      <c r="AYR225" s="18"/>
      <c r="AYS225" s="18"/>
      <c r="AYT225" s="18"/>
      <c r="AYU225" s="18"/>
      <c r="AYV225" s="18"/>
      <c r="AYW225" s="18"/>
      <c r="AYX225" s="18"/>
      <c r="AYY225" s="18"/>
      <c r="AYZ225" s="18"/>
      <c r="AZA225" s="18"/>
      <c r="AZB225" s="18"/>
      <c r="AZC225" s="18"/>
      <c r="AZD225" s="18"/>
      <c r="AZE225" s="18"/>
      <c r="AZF225" s="18"/>
      <c r="AZG225" s="18"/>
      <c r="AZH225" s="18"/>
      <c r="AZI225" s="18"/>
      <c r="AZJ225" s="18"/>
      <c r="AZK225" s="18"/>
      <c r="AZL225" s="18"/>
      <c r="AZM225" s="18"/>
      <c r="AZN225" s="18"/>
      <c r="AZO225" s="18"/>
      <c r="AZP225" s="18"/>
      <c r="AZQ225" s="18"/>
      <c r="AZR225" s="18"/>
      <c r="AZS225" s="18"/>
      <c r="AZT225" s="18"/>
      <c r="AZU225" s="18"/>
      <c r="AZV225" s="18"/>
      <c r="AZW225" s="18"/>
      <c r="AZX225" s="18"/>
      <c r="AZY225" s="18"/>
      <c r="AZZ225" s="18"/>
      <c r="BAA225" s="18"/>
      <c r="BAB225" s="18"/>
      <c r="BAC225" s="18"/>
      <c r="BAD225" s="18"/>
      <c r="BAE225" s="18"/>
      <c r="BAF225" s="18"/>
      <c r="BAG225" s="18"/>
      <c r="BAH225" s="18"/>
      <c r="BAI225" s="18"/>
      <c r="BAJ225" s="18"/>
      <c r="BAK225" s="18"/>
      <c r="BAL225" s="18"/>
      <c r="BAM225" s="18"/>
      <c r="BAN225" s="18"/>
      <c r="BAO225" s="18"/>
      <c r="BAP225" s="18"/>
      <c r="BAQ225" s="18"/>
      <c r="BAR225" s="18"/>
      <c r="BAS225" s="18"/>
      <c r="BAT225" s="18"/>
      <c r="BAU225" s="18"/>
      <c r="BAV225" s="18"/>
      <c r="BAW225" s="18"/>
      <c r="BAX225" s="18"/>
      <c r="BAY225" s="18"/>
      <c r="BAZ225" s="18"/>
      <c r="BBA225" s="18"/>
      <c r="BBB225" s="18"/>
      <c r="BBC225" s="18"/>
      <c r="BBD225" s="18"/>
      <c r="BBE225" s="18"/>
      <c r="BBF225" s="18"/>
      <c r="BBG225" s="18"/>
      <c r="BBH225" s="18"/>
      <c r="BBI225" s="18"/>
      <c r="BBJ225" s="18"/>
      <c r="BBK225" s="18"/>
      <c r="BBL225" s="18"/>
      <c r="BBM225" s="18"/>
      <c r="BBN225" s="18"/>
      <c r="BBO225" s="18"/>
      <c r="BBP225" s="18"/>
      <c r="BBQ225" s="18"/>
      <c r="BBR225" s="18"/>
      <c r="BBS225" s="18"/>
      <c r="BBT225" s="18"/>
      <c r="BBU225" s="18"/>
      <c r="BBV225" s="18"/>
      <c r="BBW225" s="18"/>
      <c r="BBX225" s="18"/>
      <c r="BBY225" s="18"/>
      <c r="BBZ225" s="18"/>
      <c r="BCA225" s="18"/>
      <c r="BCB225" s="18"/>
      <c r="BCC225" s="18"/>
      <c r="BCD225" s="18"/>
      <c r="BCE225" s="18"/>
      <c r="BCF225" s="18"/>
      <c r="BCG225" s="18"/>
      <c r="BCH225" s="18"/>
      <c r="BCI225" s="18"/>
      <c r="BCJ225" s="18"/>
      <c r="BCK225" s="18"/>
      <c r="BCL225" s="18"/>
      <c r="BCM225" s="18"/>
      <c r="BCN225" s="18"/>
      <c r="BCO225" s="18"/>
      <c r="BCP225" s="18"/>
      <c r="BCQ225" s="18"/>
      <c r="BCR225" s="18"/>
      <c r="BCS225" s="18"/>
      <c r="BCT225" s="18"/>
      <c r="BCU225" s="18"/>
      <c r="BCV225" s="18"/>
      <c r="BCW225" s="18"/>
      <c r="BCX225" s="18"/>
      <c r="BCY225" s="18"/>
      <c r="BCZ225" s="18"/>
      <c r="BDA225" s="18"/>
      <c r="BDB225" s="18"/>
      <c r="BDC225" s="18"/>
      <c r="BDD225" s="18"/>
      <c r="BDE225" s="18"/>
      <c r="BDF225" s="18"/>
      <c r="BDG225" s="18"/>
      <c r="BDH225" s="18"/>
      <c r="BDI225" s="18"/>
      <c r="BDJ225" s="18"/>
      <c r="BDK225" s="18"/>
      <c r="BDL225" s="18"/>
      <c r="BDM225" s="18"/>
      <c r="BDN225" s="18"/>
      <c r="BDO225" s="18"/>
      <c r="BDP225" s="18"/>
      <c r="BDQ225" s="18"/>
      <c r="BDR225" s="18"/>
      <c r="BDS225" s="18"/>
      <c r="BDT225" s="18"/>
      <c r="BDU225" s="18"/>
      <c r="BDV225" s="18"/>
      <c r="BDW225" s="18"/>
      <c r="BDX225" s="18"/>
      <c r="BDY225" s="18"/>
      <c r="BDZ225" s="18"/>
      <c r="BEA225" s="18"/>
      <c r="BEB225" s="18"/>
      <c r="BEC225" s="18"/>
      <c r="BED225" s="18"/>
      <c r="BEE225" s="18"/>
      <c r="BEF225" s="18"/>
      <c r="BEG225" s="18"/>
      <c r="BEH225" s="18"/>
      <c r="BEI225" s="18"/>
      <c r="BEJ225" s="18"/>
      <c r="BEK225" s="18"/>
      <c r="BEL225" s="18"/>
      <c r="BEM225" s="18"/>
      <c r="BEN225" s="18"/>
      <c r="BEO225" s="18"/>
      <c r="BEP225" s="18"/>
      <c r="BEQ225" s="18"/>
      <c r="BER225" s="18"/>
      <c r="BES225" s="18"/>
      <c r="BET225" s="18"/>
      <c r="BEU225" s="18"/>
      <c r="BEV225" s="18"/>
      <c r="BEW225" s="18"/>
      <c r="BEX225" s="18"/>
      <c r="BEY225" s="18"/>
      <c r="BEZ225" s="18"/>
      <c r="BFA225" s="18"/>
      <c r="BFB225" s="18"/>
      <c r="BFC225" s="18"/>
      <c r="BFD225" s="18"/>
      <c r="BFE225" s="18"/>
      <c r="BFF225" s="18"/>
      <c r="BFG225" s="18"/>
      <c r="BFH225" s="18"/>
      <c r="BFI225" s="18"/>
      <c r="BFJ225" s="18"/>
      <c r="BFK225" s="18"/>
      <c r="BFL225" s="18"/>
      <c r="BFM225" s="18"/>
      <c r="BFN225" s="18"/>
      <c r="BFO225" s="18"/>
      <c r="BFP225" s="18"/>
      <c r="BFQ225" s="18"/>
      <c r="BFR225" s="18"/>
      <c r="BFS225" s="18"/>
      <c r="BFT225" s="18"/>
      <c r="BFU225" s="18"/>
      <c r="BFV225" s="18"/>
      <c r="BFW225" s="18"/>
      <c r="BFX225" s="18"/>
      <c r="BFY225" s="18"/>
      <c r="BFZ225" s="18"/>
      <c r="BGA225" s="18"/>
      <c r="BGB225" s="18"/>
      <c r="BGC225" s="18"/>
      <c r="BGD225" s="18"/>
      <c r="BGE225" s="18"/>
      <c r="BGF225" s="18"/>
      <c r="BGG225" s="18"/>
      <c r="BGH225" s="18"/>
      <c r="BGI225" s="18"/>
      <c r="BGJ225" s="18"/>
      <c r="BGK225" s="18"/>
      <c r="BGL225" s="18"/>
      <c r="BGM225" s="18"/>
      <c r="BGN225" s="18"/>
      <c r="BGO225" s="18"/>
      <c r="BGP225" s="18"/>
      <c r="BGQ225" s="18"/>
      <c r="BGR225" s="18"/>
      <c r="BGS225" s="18"/>
      <c r="BGT225" s="18"/>
      <c r="BGU225" s="18"/>
      <c r="BGV225" s="18"/>
      <c r="BGW225" s="18"/>
      <c r="BGX225" s="18"/>
      <c r="BGY225" s="18"/>
      <c r="BGZ225" s="18"/>
      <c r="BHA225" s="18"/>
      <c r="BHB225" s="18"/>
      <c r="BHC225" s="18"/>
      <c r="BHD225" s="18"/>
      <c r="BHE225" s="18"/>
      <c r="BHF225" s="18"/>
      <c r="BHG225" s="18"/>
      <c r="BHH225" s="18"/>
      <c r="BHI225" s="18"/>
      <c r="BHJ225" s="18"/>
      <c r="BHK225" s="18"/>
      <c r="BHL225" s="18"/>
      <c r="BHM225" s="18"/>
      <c r="BHN225" s="18"/>
      <c r="BHO225" s="18"/>
      <c r="BHP225" s="18"/>
      <c r="BHQ225" s="18"/>
      <c r="BHR225" s="18"/>
      <c r="BHS225" s="18"/>
      <c r="BHT225" s="18"/>
      <c r="BHU225" s="18"/>
      <c r="BHV225" s="18"/>
      <c r="BHW225" s="18"/>
      <c r="BHX225" s="18"/>
      <c r="BHY225" s="18"/>
      <c r="BHZ225" s="18"/>
      <c r="BIA225" s="18"/>
      <c r="BIB225" s="18"/>
      <c r="BIC225" s="18"/>
      <c r="BID225" s="18"/>
      <c r="BIE225" s="18"/>
      <c r="BIF225" s="18"/>
      <c r="BIG225" s="18"/>
      <c r="BIH225" s="18"/>
      <c r="BII225" s="18"/>
      <c r="BIJ225" s="18"/>
      <c r="BIK225" s="18"/>
      <c r="BIL225" s="18"/>
      <c r="BIM225" s="18"/>
      <c r="BIN225" s="18"/>
      <c r="BIO225" s="18"/>
      <c r="BIP225" s="18"/>
      <c r="BIQ225" s="18"/>
      <c r="BIR225" s="18"/>
      <c r="BIS225" s="18"/>
      <c r="BIT225" s="18"/>
      <c r="BIU225" s="18"/>
      <c r="BIV225" s="18"/>
      <c r="BIW225" s="18"/>
      <c r="BIX225" s="18"/>
      <c r="BIY225" s="18"/>
      <c r="BIZ225" s="18"/>
      <c r="BJA225" s="18"/>
      <c r="BJB225" s="18"/>
      <c r="BJC225" s="18"/>
      <c r="BJD225" s="18"/>
      <c r="BJE225" s="18"/>
      <c r="BJF225" s="18"/>
      <c r="BJG225" s="18"/>
      <c r="BJH225" s="18"/>
      <c r="BJI225" s="18"/>
      <c r="BJJ225" s="18"/>
      <c r="BJK225" s="18"/>
      <c r="BJL225" s="18"/>
      <c r="BJM225" s="18"/>
      <c r="BJN225" s="18"/>
      <c r="BJO225" s="18"/>
      <c r="BJP225" s="18"/>
      <c r="BJQ225" s="18"/>
      <c r="BJR225" s="18"/>
      <c r="BJS225" s="18"/>
      <c r="BJT225" s="18"/>
      <c r="BJU225" s="18"/>
      <c r="BJV225" s="18"/>
      <c r="BJW225" s="18"/>
      <c r="BJX225" s="18"/>
      <c r="BJY225" s="18"/>
      <c r="BJZ225" s="18"/>
      <c r="BKA225" s="18"/>
      <c r="BKB225" s="18"/>
      <c r="BKC225" s="18"/>
      <c r="BKD225" s="18"/>
      <c r="BKE225" s="18"/>
      <c r="BKF225" s="18"/>
      <c r="BKG225" s="18"/>
      <c r="BKH225" s="18"/>
      <c r="BKI225" s="18"/>
      <c r="BKJ225" s="18"/>
      <c r="BKK225" s="18"/>
      <c r="BKL225" s="18"/>
      <c r="BKM225" s="18"/>
      <c r="BKN225" s="18"/>
      <c r="BKO225" s="18"/>
      <c r="BKP225" s="18"/>
      <c r="BKQ225" s="18"/>
      <c r="BKR225" s="18"/>
      <c r="BKS225" s="18"/>
      <c r="BKT225" s="18"/>
      <c r="BKU225" s="18"/>
      <c r="BKV225" s="18"/>
      <c r="BKW225" s="18"/>
      <c r="BKX225" s="18"/>
      <c r="BKY225" s="18"/>
      <c r="BKZ225" s="18"/>
      <c r="BLA225" s="18"/>
      <c r="BLB225" s="18"/>
      <c r="BLC225" s="18"/>
      <c r="BLD225" s="18"/>
      <c r="BLE225" s="18"/>
      <c r="BLF225" s="18"/>
      <c r="BLG225" s="18"/>
      <c r="BLH225" s="18"/>
      <c r="BLI225" s="18"/>
      <c r="BLJ225" s="18"/>
      <c r="BLK225" s="18"/>
      <c r="BLL225" s="18"/>
      <c r="BLM225" s="18"/>
      <c r="BLN225" s="18"/>
      <c r="BLO225" s="18"/>
      <c r="BLP225" s="18"/>
      <c r="BLQ225" s="18"/>
      <c r="BLR225" s="18"/>
      <c r="BLS225" s="18"/>
      <c r="BLT225" s="18"/>
      <c r="BLU225" s="18"/>
      <c r="BLV225" s="18"/>
      <c r="BLW225" s="18"/>
      <c r="BLX225" s="18"/>
      <c r="BLY225" s="18"/>
      <c r="BLZ225" s="18"/>
      <c r="BMA225" s="18"/>
      <c r="BMB225" s="18"/>
      <c r="BMC225" s="18"/>
      <c r="BMD225" s="18"/>
      <c r="BME225" s="18"/>
      <c r="BMF225" s="18"/>
      <c r="BMG225" s="18"/>
      <c r="BMH225" s="18"/>
      <c r="BMI225" s="18"/>
      <c r="BMJ225" s="18"/>
      <c r="BMK225" s="18"/>
      <c r="BML225" s="18"/>
      <c r="BMM225" s="18"/>
      <c r="BMN225" s="18"/>
      <c r="BMO225" s="18"/>
      <c r="BMP225" s="18"/>
      <c r="BMQ225" s="18"/>
      <c r="BMR225" s="18"/>
      <c r="BMS225" s="18"/>
      <c r="BMT225" s="18"/>
      <c r="BMU225" s="18"/>
      <c r="BMV225" s="18"/>
      <c r="BMW225" s="18"/>
      <c r="BMX225" s="18"/>
      <c r="BMY225" s="18"/>
      <c r="BMZ225" s="18"/>
      <c r="BNA225" s="18"/>
      <c r="BNB225" s="18"/>
      <c r="BNC225" s="18"/>
      <c r="BND225" s="18"/>
      <c r="BNE225" s="18"/>
      <c r="BNF225" s="18"/>
      <c r="BNG225" s="18"/>
      <c r="BNH225" s="18"/>
      <c r="BNI225" s="18"/>
      <c r="BNJ225" s="18"/>
      <c r="BNK225" s="18"/>
      <c r="BNL225" s="18"/>
      <c r="BNM225" s="18"/>
      <c r="BNN225" s="18"/>
      <c r="BNO225" s="18"/>
      <c r="BNP225" s="18"/>
      <c r="BNQ225" s="18"/>
      <c r="BNR225" s="18"/>
      <c r="BNS225" s="18"/>
      <c r="BNT225" s="18"/>
      <c r="BNU225" s="18"/>
      <c r="BNV225" s="18"/>
      <c r="BNW225" s="18"/>
      <c r="BNX225" s="18"/>
      <c r="BNY225" s="18"/>
      <c r="BNZ225" s="18"/>
      <c r="BOA225" s="18"/>
      <c r="BOB225" s="18"/>
      <c r="BOC225" s="18"/>
      <c r="BOD225" s="18"/>
      <c r="BOE225" s="18"/>
      <c r="BOF225" s="18"/>
      <c r="BOG225" s="18"/>
      <c r="BOH225" s="18"/>
      <c r="BOI225" s="18"/>
      <c r="BOJ225" s="18"/>
      <c r="BOK225" s="18"/>
      <c r="BOL225" s="18"/>
      <c r="BOM225" s="18"/>
      <c r="BON225" s="18"/>
      <c r="BOO225" s="18"/>
      <c r="BOP225" s="18"/>
      <c r="BOQ225" s="18"/>
      <c r="BOR225" s="18"/>
      <c r="BOS225" s="18"/>
      <c r="BOT225" s="18"/>
      <c r="BOU225" s="18"/>
      <c r="BOV225" s="18"/>
      <c r="BOW225" s="18"/>
      <c r="BOX225" s="18"/>
      <c r="BOY225" s="18"/>
      <c r="BOZ225" s="18"/>
      <c r="BPA225" s="18"/>
      <c r="BPB225" s="18"/>
      <c r="BPC225" s="18"/>
      <c r="BPD225" s="18"/>
      <c r="BPE225" s="18"/>
      <c r="BPF225" s="18"/>
      <c r="BPG225" s="18"/>
      <c r="BPH225" s="18"/>
      <c r="BPI225" s="18"/>
      <c r="BPJ225" s="18"/>
      <c r="BPK225" s="18"/>
      <c r="BPL225" s="18"/>
      <c r="BPM225" s="18"/>
      <c r="BPN225" s="18"/>
      <c r="BPO225" s="18"/>
      <c r="BPP225" s="18"/>
      <c r="BPQ225" s="18"/>
      <c r="BPR225" s="18"/>
      <c r="BPS225" s="18"/>
      <c r="BPT225" s="18"/>
      <c r="BPU225" s="18"/>
      <c r="BPV225" s="18"/>
      <c r="BPW225" s="18"/>
      <c r="BPX225" s="18"/>
      <c r="BPY225" s="18"/>
      <c r="BPZ225" s="18"/>
      <c r="BQA225" s="18"/>
      <c r="BQB225" s="18"/>
      <c r="BQC225" s="18"/>
      <c r="BQD225" s="18"/>
      <c r="BQE225" s="18"/>
      <c r="BQF225" s="18"/>
      <c r="BQG225" s="18"/>
      <c r="BQH225" s="18"/>
      <c r="BQI225" s="18"/>
      <c r="BQJ225" s="18"/>
      <c r="BQK225" s="18"/>
      <c r="BQL225" s="18"/>
      <c r="BQM225" s="18"/>
      <c r="BQN225" s="18"/>
      <c r="BQO225" s="18"/>
      <c r="BQP225" s="18"/>
      <c r="BQQ225" s="18"/>
      <c r="BQR225" s="18"/>
      <c r="BQS225" s="18"/>
      <c r="BQT225" s="18"/>
      <c r="BQU225" s="18"/>
      <c r="BQV225" s="18"/>
      <c r="BQW225" s="18"/>
      <c r="BQX225" s="18"/>
      <c r="BQY225" s="18"/>
      <c r="BQZ225" s="18"/>
      <c r="BRA225" s="18"/>
      <c r="BRB225" s="18"/>
      <c r="BRC225" s="18"/>
      <c r="BRD225" s="18"/>
      <c r="BRE225" s="18"/>
      <c r="BRF225" s="18"/>
      <c r="BRG225" s="18"/>
      <c r="BRH225" s="18"/>
      <c r="BRI225" s="18"/>
      <c r="BRJ225" s="18"/>
      <c r="BRK225" s="18"/>
      <c r="BRL225" s="18"/>
      <c r="BRM225" s="18"/>
      <c r="BRN225" s="18"/>
      <c r="BRO225" s="18"/>
      <c r="BRP225" s="18"/>
      <c r="BRQ225" s="18"/>
      <c r="BRR225" s="18"/>
      <c r="BRS225" s="18"/>
      <c r="BRT225" s="18"/>
      <c r="BRU225" s="18"/>
      <c r="BRV225" s="18"/>
      <c r="BRW225" s="18"/>
      <c r="BRX225" s="18"/>
      <c r="BRY225" s="18"/>
      <c r="BRZ225" s="18"/>
      <c r="BSA225" s="18"/>
      <c r="BSB225" s="18"/>
      <c r="BSC225" s="18"/>
      <c r="BSD225" s="18"/>
      <c r="BSE225" s="18"/>
      <c r="BSF225" s="18"/>
      <c r="BSG225" s="18"/>
      <c r="BSH225" s="18"/>
      <c r="BSI225" s="18"/>
      <c r="BSJ225" s="18"/>
      <c r="BSK225" s="18"/>
      <c r="BSL225" s="18"/>
      <c r="BSM225" s="18"/>
      <c r="BSN225" s="18"/>
      <c r="BSO225" s="18"/>
      <c r="BSP225" s="18"/>
      <c r="BSQ225" s="18"/>
      <c r="BSR225" s="18"/>
      <c r="BSS225" s="18"/>
      <c r="BST225" s="18"/>
      <c r="BSU225" s="18"/>
      <c r="BSV225" s="18"/>
      <c r="BSW225" s="18"/>
      <c r="BSX225" s="18"/>
      <c r="BSY225" s="18"/>
      <c r="BSZ225" s="18"/>
      <c r="BTA225" s="18"/>
      <c r="BTB225" s="18"/>
      <c r="BTC225" s="18"/>
      <c r="BTD225" s="18"/>
      <c r="BTE225" s="18"/>
      <c r="BTF225" s="18"/>
      <c r="BTG225" s="18"/>
      <c r="BTH225" s="18"/>
      <c r="BTI225" s="18"/>
    </row>
    <row r="226" spans="1:1881" s="426" customFormat="1" ht="81.75" customHeight="1" x14ac:dyDescent="0.3">
      <c r="A226" s="100">
        <v>598</v>
      </c>
      <c r="B226" s="373" t="s">
        <v>58</v>
      </c>
      <c r="C226" s="373" t="s">
        <v>285</v>
      </c>
      <c r="D226" s="383" t="s">
        <v>338</v>
      </c>
      <c r="E226" s="371" t="e">
        <f>INDEX('PY1 Data(H)'!$A$1:$CZ$265,MATCH('Unit Data from Audit Worksheet'!$A226,'PY1 Data(H)'!$A$1:$A$258,0),MATCH('Unit Data from Audit Worksheet'!$D$2,'PY1 Data(H)'!$A$1:$CZ$1,0))</f>
        <v>#N/A</v>
      </c>
      <c r="F226" s="793">
        <v>0</v>
      </c>
      <c r="G226" s="401">
        <f>IF(F226&lt;0,"Error: Enter as positive.",)</f>
        <v>0</v>
      </c>
      <c r="H226" s="401"/>
      <c r="I226" s="17"/>
      <c r="J226" s="424"/>
      <c r="K226"/>
      <c r="L226" s="547"/>
      <c r="M226"/>
      <c r="N226" s="18"/>
      <c r="O226" s="186"/>
      <c r="P226" s="18"/>
      <c r="Q226" s="18"/>
      <c r="R226" s="18"/>
      <c r="S226" s="18"/>
      <c r="T226" s="18"/>
      <c r="U226" s="18"/>
      <c r="V226" s="18"/>
      <c r="W226" s="18"/>
      <c r="X226" s="18"/>
      <c r="Y226" s="18"/>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c r="MO226" s="18"/>
      <c r="MP226" s="18"/>
      <c r="MQ226" s="18"/>
      <c r="MR226" s="18"/>
      <c r="MS226" s="18"/>
      <c r="MT226" s="18"/>
      <c r="MU226" s="18"/>
      <c r="MV226" s="18"/>
      <c r="MW226" s="18"/>
      <c r="MX226" s="18"/>
      <c r="MY226" s="18"/>
      <c r="MZ226" s="18"/>
      <c r="NA226" s="18"/>
      <c r="NB226" s="18"/>
      <c r="NC226" s="18"/>
      <c r="ND226" s="18"/>
      <c r="NE226" s="18"/>
      <c r="NF226" s="18"/>
      <c r="NG226" s="18"/>
      <c r="NH226" s="18"/>
      <c r="NI226" s="18"/>
      <c r="NJ226" s="18"/>
      <c r="NK226" s="18"/>
      <c r="NL226" s="18"/>
      <c r="NM226" s="18"/>
      <c r="NN226" s="18"/>
      <c r="NO226" s="18"/>
      <c r="NP226" s="18"/>
      <c r="NQ226" s="18"/>
      <c r="NR226" s="18"/>
      <c r="NS226" s="18"/>
      <c r="NT226" s="18"/>
      <c r="NU226" s="18"/>
      <c r="NV226" s="18"/>
      <c r="NW226" s="18"/>
      <c r="NX226" s="18"/>
      <c r="NY226" s="18"/>
      <c r="NZ226" s="18"/>
      <c r="OA226" s="18"/>
      <c r="OB226" s="18"/>
      <c r="OC226" s="18"/>
      <c r="OD226" s="18"/>
      <c r="OE226" s="18"/>
      <c r="OF226" s="18"/>
      <c r="OG226" s="18"/>
      <c r="OH226" s="18"/>
      <c r="OI226" s="18"/>
      <c r="OJ226" s="18"/>
      <c r="OK226" s="18"/>
      <c r="OL226" s="18"/>
      <c r="OM226" s="18"/>
      <c r="ON226" s="18"/>
      <c r="OO226" s="18"/>
      <c r="OP226" s="18"/>
      <c r="OQ226" s="18"/>
      <c r="OR226" s="18"/>
      <c r="OS226" s="18"/>
      <c r="OT226" s="18"/>
      <c r="OU226" s="18"/>
      <c r="OV226" s="18"/>
      <c r="OW226" s="18"/>
      <c r="OX226" s="18"/>
      <c r="OY226" s="18"/>
      <c r="OZ226" s="18"/>
      <c r="PA226" s="18"/>
      <c r="PB226" s="18"/>
      <c r="PC226" s="18"/>
      <c r="PD226" s="18"/>
      <c r="PE226" s="18"/>
      <c r="PF226" s="18"/>
      <c r="PG226" s="18"/>
      <c r="PH226" s="18"/>
      <c r="PI226" s="18"/>
      <c r="PJ226" s="18"/>
      <c r="PK226" s="18"/>
      <c r="PL226" s="18"/>
      <c r="PM226" s="18"/>
      <c r="PN226" s="18"/>
      <c r="PO226" s="18"/>
      <c r="PP226" s="18"/>
      <c r="PQ226" s="18"/>
      <c r="PR226" s="18"/>
      <c r="PS226" s="18"/>
      <c r="PT226" s="18"/>
      <c r="PU226" s="18"/>
      <c r="PV226" s="18"/>
      <c r="PW226" s="18"/>
      <c r="PX226" s="18"/>
      <c r="PY226" s="18"/>
      <c r="PZ226" s="18"/>
      <c r="QA226" s="18"/>
      <c r="QB226" s="18"/>
      <c r="QC226" s="18"/>
      <c r="QD226" s="18"/>
      <c r="QE226" s="18"/>
      <c r="QF226" s="18"/>
      <c r="QG226" s="18"/>
      <c r="QH226" s="18"/>
      <c r="QI226" s="18"/>
      <c r="QJ226" s="18"/>
      <c r="QK226" s="18"/>
      <c r="QL226" s="18"/>
      <c r="QM226" s="18"/>
      <c r="QN226" s="18"/>
      <c r="QO226" s="18"/>
      <c r="QP226" s="18"/>
      <c r="QQ226" s="18"/>
      <c r="QR226" s="18"/>
      <c r="QS226" s="18"/>
      <c r="QT226" s="18"/>
      <c r="QU226" s="18"/>
      <c r="QV226" s="18"/>
      <c r="QW226" s="18"/>
      <c r="QX226" s="18"/>
      <c r="QY226" s="18"/>
      <c r="QZ226" s="18"/>
      <c r="RA226" s="18"/>
      <c r="RB226" s="18"/>
      <c r="RC226" s="18"/>
      <c r="RD226" s="18"/>
      <c r="RE226" s="18"/>
      <c r="RF226" s="18"/>
      <c r="RG226" s="18"/>
      <c r="RH226" s="18"/>
      <c r="RI226" s="18"/>
      <c r="RJ226" s="18"/>
      <c r="RK226" s="18"/>
      <c r="RL226" s="18"/>
      <c r="RM226" s="18"/>
      <c r="RN226" s="18"/>
      <c r="RO226" s="18"/>
      <c r="RP226" s="18"/>
      <c r="RQ226" s="18"/>
      <c r="RR226" s="18"/>
      <c r="RS226" s="18"/>
      <c r="RT226" s="18"/>
      <c r="RU226" s="18"/>
      <c r="RV226" s="18"/>
      <c r="RW226" s="18"/>
      <c r="RX226" s="18"/>
      <c r="RY226" s="18"/>
      <c r="RZ226" s="18"/>
      <c r="SA226" s="18"/>
      <c r="SB226" s="18"/>
      <c r="SC226" s="18"/>
      <c r="SD226" s="18"/>
      <c r="SE226" s="18"/>
      <c r="SF226" s="18"/>
      <c r="SG226" s="18"/>
      <c r="SH226" s="18"/>
      <c r="SI226" s="18"/>
      <c r="SJ226" s="18"/>
      <c r="SK226" s="18"/>
      <c r="SL226" s="18"/>
      <c r="SM226" s="18"/>
      <c r="SN226" s="18"/>
      <c r="SO226" s="18"/>
      <c r="SP226" s="18"/>
      <c r="SQ226" s="18"/>
      <c r="SR226" s="18"/>
      <c r="SS226" s="18"/>
      <c r="ST226" s="18"/>
      <c r="SU226" s="18"/>
      <c r="SV226" s="18"/>
      <c r="SW226" s="18"/>
      <c r="SX226" s="18"/>
      <c r="SY226" s="18"/>
      <c r="SZ226" s="18"/>
      <c r="TA226" s="18"/>
      <c r="TB226" s="18"/>
      <c r="TC226" s="18"/>
      <c r="TD226" s="18"/>
      <c r="TE226" s="18"/>
      <c r="TF226" s="18"/>
      <c r="TG226" s="18"/>
      <c r="TH226" s="18"/>
      <c r="TI226" s="18"/>
      <c r="TJ226" s="18"/>
      <c r="TK226" s="18"/>
      <c r="TL226" s="18"/>
      <c r="TM226" s="18"/>
      <c r="TN226" s="18"/>
      <c r="TO226" s="18"/>
      <c r="TP226" s="18"/>
      <c r="TQ226" s="18"/>
      <c r="TR226" s="18"/>
      <c r="TS226" s="18"/>
      <c r="TT226" s="18"/>
      <c r="TU226" s="18"/>
      <c r="TV226" s="18"/>
      <c r="TW226" s="18"/>
      <c r="TX226" s="18"/>
      <c r="TY226" s="18"/>
      <c r="TZ226" s="18"/>
      <c r="UA226" s="18"/>
      <c r="UB226" s="18"/>
      <c r="UC226" s="18"/>
      <c r="UD226" s="18"/>
      <c r="UE226" s="18"/>
      <c r="UF226" s="18"/>
      <c r="UG226" s="18"/>
      <c r="UH226" s="18"/>
      <c r="UI226" s="18"/>
      <c r="UJ226" s="18"/>
      <c r="UK226" s="18"/>
      <c r="UL226" s="18"/>
      <c r="UM226" s="18"/>
      <c r="UN226" s="18"/>
      <c r="UO226" s="18"/>
      <c r="UP226" s="18"/>
      <c r="UQ226" s="18"/>
      <c r="UR226" s="18"/>
      <c r="US226" s="18"/>
      <c r="UT226" s="18"/>
      <c r="UU226" s="18"/>
      <c r="UV226" s="18"/>
      <c r="UW226" s="18"/>
      <c r="UX226" s="18"/>
      <c r="UY226" s="18"/>
      <c r="UZ226" s="18"/>
      <c r="VA226" s="18"/>
      <c r="VB226" s="18"/>
      <c r="VC226" s="18"/>
      <c r="VD226" s="18"/>
      <c r="VE226" s="18"/>
      <c r="VF226" s="18"/>
      <c r="VG226" s="18"/>
      <c r="VH226" s="18"/>
      <c r="VI226" s="18"/>
      <c r="VJ226" s="18"/>
      <c r="VK226" s="18"/>
      <c r="VL226" s="18"/>
      <c r="VM226" s="18"/>
      <c r="VN226" s="18"/>
      <c r="VO226" s="18"/>
      <c r="VP226" s="18"/>
      <c r="VQ226" s="18"/>
      <c r="VR226" s="18"/>
      <c r="VS226" s="18"/>
      <c r="VT226" s="18"/>
      <c r="VU226" s="18"/>
      <c r="VV226" s="18"/>
      <c r="VW226" s="18"/>
      <c r="VX226" s="18"/>
      <c r="VY226" s="18"/>
      <c r="VZ226" s="18"/>
      <c r="WA226" s="18"/>
      <c r="WB226" s="18"/>
      <c r="WC226" s="18"/>
      <c r="WD226" s="18"/>
      <c r="WE226" s="18"/>
      <c r="WF226" s="18"/>
      <c r="WG226" s="18"/>
      <c r="WH226" s="18"/>
      <c r="WI226" s="18"/>
      <c r="WJ226" s="18"/>
      <c r="WK226" s="18"/>
      <c r="WL226" s="18"/>
      <c r="WM226" s="18"/>
      <c r="WN226" s="18"/>
      <c r="WO226" s="18"/>
      <c r="WP226" s="18"/>
      <c r="WQ226" s="18"/>
      <c r="WR226" s="18"/>
      <c r="WS226" s="18"/>
      <c r="WT226" s="18"/>
      <c r="WU226" s="18"/>
      <c r="WV226" s="18"/>
      <c r="WW226" s="18"/>
      <c r="WX226" s="18"/>
      <c r="WY226" s="18"/>
      <c r="WZ226" s="18"/>
      <c r="XA226" s="18"/>
      <c r="XB226" s="18"/>
      <c r="XC226" s="18"/>
      <c r="XD226" s="18"/>
      <c r="XE226" s="18"/>
      <c r="XF226" s="18"/>
      <c r="XG226" s="18"/>
      <c r="XH226" s="18"/>
      <c r="XI226" s="18"/>
      <c r="XJ226" s="18"/>
      <c r="XK226" s="18"/>
      <c r="XL226" s="18"/>
      <c r="XM226" s="18"/>
      <c r="XN226" s="18"/>
      <c r="XO226" s="18"/>
      <c r="XP226" s="18"/>
      <c r="XQ226" s="18"/>
      <c r="XR226" s="18"/>
      <c r="XS226" s="18"/>
      <c r="XT226" s="18"/>
      <c r="XU226" s="18"/>
      <c r="XV226" s="18"/>
      <c r="XW226" s="18"/>
      <c r="XX226" s="18"/>
      <c r="XY226" s="18"/>
      <c r="XZ226" s="18"/>
      <c r="YA226" s="18"/>
      <c r="YB226" s="18"/>
      <c r="YC226" s="18"/>
      <c r="YD226" s="18"/>
      <c r="YE226" s="18"/>
      <c r="YF226" s="18"/>
      <c r="YG226" s="18"/>
      <c r="YH226" s="18"/>
      <c r="YI226" s="18"/>
      <c r="YJ226" s="18"/>
      <c r="YK226" s="18"/>
      <c r="YL226" s="18"/>
      <c r="YM226" s="18"/>
      <c r="YN226" s="18"/>
      <c r="YO226" s="18"/>
      <c r="YP226" s="18"/>
      <c r="YQ226" s="18"/>
      <c r="YR226" s="18"/>
      <c r="YS226" s="18"/>
      <c r="YT226" s="18"/>
      <c r="YU226" s="18"/>
      <c r="YV226" s="18"/>
      <c r="YW226" s="18"/>
      <c r="YX226" s="18"/>
      <c r="YY226" s="18"/>
      <c r="YZ226" s="18"/>
      <c r="ZA226" s="18"/>
      <c r="ZB226" s="18"/>
      <c r="ZC226" s="18"/>
      <c r="ZD226" s="18"/>
      <c r="ZE226" s="18"/>
      <c r="ZF226" s="18"/>
      <c r="ZG226" s="18"/>
      <c r="ZH226" s="18"/>
      <c r="ZI226" s="18"/>
      <c r="ZJ226" s="18"/>
      <c r="ZK226" s="18"/>
      <c r="ZL226" s="18"/>
      <c r="ZM226" s="18"/>
      <c r="ZN226" s="18"/>
      <c r="ZO226" s="18"/>
      <c r="ZP226" s="18"/>
      <c r="ZQ226" s="18"/>
      <c r="ZR226" s="18"/>
      <c r="ZS226" s="18"/>
      <c r="ZT226" s="18"/>
      <c r="ZU226" s="18"/>
      <c r="ZV226" s="18"/>
      <c r="ZW226" s="18"/>
      <c r="ZX226" s="18"/>
      <c r="ZY226" s="18"/>
      <c r="ZZ226" s="18"/>
      <c r="AAA226" s="18"/>
      <c r="AAB226" s="18"/>
      <c r="AAC226" s="18"/>
      <c r="AAD226" s="18"/>
      <c r="AAE226" s="18"/>
      <c r="AAF226" s="18"/>
      <c r="AAG226" s="18"/>
      <c r="AAH226" s="18"/>
      <c r="AAI226" s="18"/>
      <c r="AAJ226" s="18"/>
      <c r="AAK226" s="18"/>
      <c r="AAL226" s="18"/>
      <c r="AAM226" s="18"/>
      <c r="AAN226" s="18"/>
      <c r="AAO226" s="18"/>
      <c r="AAP226" s="18"/>
      <c r="AAQ226" s="18"/>
      <c r="AAR226" s="18"/>
      <c r="AAS226" s="18"/>
      <c r="AAT226" s="18"/>
      <c r="AAU226" s="18"/>
      <c r="AAV226" s="18"/>
      <c r="AAW226" s="18"/>
      <c r="AAX226" s="18"/>
      <c r="AAY226" s="18"/>
      <c r="AAZ226" s="18"/>
      <c r="ABA226" s="18"/>
      <c r="ABB226" s="18"/>
      <c r="ABC226" s="18"/>
      <c r="ABD226" s="18"/>
      <c r="ABE226" s="18"/>
      <c r="ABF226" s="18"/>
      <c r="ABG226" s="18"/>
      <c r="ABH226" s="18"/>
      <c r="ABI226" s="18"/>
      <c r="ABJ226" s="18"/>
      <c r="ABK226" s="18"/>
      <c r="ABL226" s="18"/>
      <c r="ABM226" s="18"/>
      <c r="ABN226" s="18"/>
      <c r="ABO226" s="18"/>
      <c r="ABP226" s="18"/>
      <c r="ABQ226" s="18"/>
      <c r="ABR226" s="18"/>
      <c r="ABS226" s="18"/>
      <c r="ABT226" s="18"/>
      <c r="ABU226" s="18"/>
      <c r="ABV226" s="18"/>
      <c r="ABW226" s="18"/>
      <c r="ABX226" s="18"/>
      <c r="ABY226" s="18"/>
      <c r="ABZ226" s="18"/>
      <c r="ACA226" s="18"/>
      <c r="ACB226" s="18"/>
      <c r="ACC226" s="18"/>
      <c r="ACD226" s="18"/>
      <c r="ACE226" s="18"/>
      <c r="ACF226" s="18"/>
      <c r="ACG226" s="18"/>
      <c r="ACH226" s="18"/>
      <c r="ACI226" s="18"/>
      <c r="ACJ226" s="18"/>
      <c r="ACK226" s="18"/>
      <c r="ACL226" s="18"/>
      <c r="ACM226" s="18"/>
      <c r="ACN226" s="18"/>
      <c r="ACO226" s="18"/>
      <c r="ACP226" s="18"/>
      <c r="ACQ226" s="18"/>
      <c r="ACR226" s="18"/>
      <c r="ACS226" s="18"/>
      <c r="ACT226" s="18"/>
      <c r="ACU226" s="18"/>
      <c r="ACV226" s="18"/>
      <c r="ACW226" s="18"/>
      <c r="ACX226" s="18"/>
      <c r="ACY226" s="18"/>
      <c r="ACZ226" s="18"/>
      <c r="ADA226" s="18"/>
      <c r="ADB226" s="18"/>
      <c r="ADC226" s="18"/>
      <c r="ADD226" s="18"/>
      <c r="ADE226" s="18"/>
      <c r="ADF226" s="18"/>
      <c r="ADG226" s="18"/>
      <c r="ADH226" s="18"/>
      <c r="ADI226" s="18"/>
      <c r="ADJ226" s="18"/>
      <c r="ADK226" s="18"/>
      <c r="ADL226" s="18"/>
      <c r="ADM226" s="18"/>
      <c r="ADN226" s="18"/>
      <c r="ADO226" s="18"/>
      <c r="ADP226" s="18"/>
      <c r="ADQ226" s="18"/>
      <c r="ADR226" s="18"/>
      <c r="ADS226" s="18"/>
      <c r="ADT226" s="18"/>
      <c r="ADU226" s="18"/>
      <c r="ADV226" s="18"/>
      <c r="ADW226" s="18"/>
      <c r="ADX226" s="18"/>
      <c r="ADY226" s="18"/>
      <c r="ADZ226" s="18"/>
      <c r="AEA226" s="18"/>
      <c r="AEB226" s="18"/>
      <c r="AEC226" s="18"/>
      <c r="AED226" s="18"/>
      <c r="AEE226" s="18"/>
      <c r="AEF226" s="18"/>
      <c r="AEG226" s="18"/>
      <c r="AEH226" s="18"/>
      <c r="AEI226" s="18"/>
      <c r="AEJ226" s="18"/>
      <c r="AEK226" s="18"/>
      <c r="AEL226" s="18"/>
      <c r="AEM226" s="18"/>
      <c r="AEN226" s="18"/>
      <c r="AEO226" s="18"/>
      <c r="AEP226" s="18"/>
      <c r="AEQ226" s="18"/>
      <c r="AER226" s="18"/>
      <c r="AES226" s="18"/>
      <c r="AET226" s="18"/>
      <c r="AEU226" s="18"/>
      <c r="AEV226" s="18"/>
      <c r="AEW226" s="18"/>
      <c r="AEX226" s="18"/>
      <c r="AEY226" s="18"/>
      <c r="AEZ226" s="18"/>
      <c r="AFA226" s="18"/>
      <c r="AFB226" s="18"/>
      <c r="AFC226" s="18"/>
      <c r="AFD226" s="18"/>
      <c r="AFE226" s="18"/>
      <c r="AFF226" s="18"/>
      <c r="AFG226" s="18"/>
      <c r="AFH226" s="18"/>
      <c r="AFI226" s="18"/>
      <c r="AFJ226" s="18"/>
      <c r="AFK226" s="18"/>
      <c r="AFL226" s="18"/>
      <c r="AFM226" s="18"/>
      <c r="AFN226" s="18"/>
      <c r="AFO226" s="18"/>
      <c r="AFP226" s="18"/>
      <c r="AFQ226" s="18"/>
      <c r="AFR226" s="18"/>
      <c r="AFS226" s="18"/>
      <c r="AFT226" s="18"/>
      <c r="AFU226" s="18"/>
      <c r="AFV226" s="18"/>
      <c r="AFW226" s="18"/>
      <c r="AFX226" s="18"/>
      <c r="AFY226" s="18"/>
      <c r="AFZ226" s="18"/>
      <c r="AGA226" s="18"/>
      <c r="AGB226" s="18"/>
      <c r="AGC226" s="18"/>
      <c r="AGD226" s="18"/>
      <c r="AGE226" s="18"/>
      <c r="AGF226" s="18"/>
      <c r="AGG226" s="18"/>
      <c r="AGH226" s="18"/>
      <c r="AGI226" s="18"/>
      <c r="AGJ226" s="18"/>
      <c r="AGK226" s="18"/>
      <c r="AGL226" s="18"/>
      <c r="AGM226" s="18"/>
      <c r="AGN226" s="18"/>
      <c r="AGO226" s="18"/>
      <c r="AGP226" s="18"/>
      <c r="AGQ226" s="18"/>
      <c r="AGR226" s="18"/>
      <c r="AGS226" s="18"/>
      <c r="AGT226" s="18"/>
      <c r="AGU226" s="18"/>
      <c r="AGV226" s="18"/>
      <c r="AGW226" s="18"/>
      <c r="AGX226" s="18"/>
      <c r="AGY226" s="18"/>
      <c r="AGZ226" s="18"/>
      <c r="AHA226" s="18"/>
      <c r="AHB226" s="18"/>
      <c r="AHC226" s="18"/>
      <c r="AHD226" s="18"/>
      <c r="AHE226" s="18"/>
      <c r="AHF226" s="18"/>
      <c r="AHG226" s="18"/>
      <c r="AHH226" s="18"/>
      <c r="AHI226" s="18"/>
      <c r="AHJ226" s="18"/>
      <c r="AHK226" s="18"/>
      <c r="AHL226" s="18"/>
      <c r="AHM226" s="18"/>
      <c r="AHN226" s="18"/>
      <c r="AHO226" s="18"/>
      <c r="AHP226" s="18"/>
      <c r="AHQ226" s="18"/>
      <c r="AHR226" s="18"/>
      <c r="AHS226" s="18"/>
      <c r="AHT226" s="18"/>
      <c r="AHU226" s="18"/>
      <c r="AHV226" s="18"/>
      <c r="AHW226" s="18"/>
      <c r="AHX226" s="18"/>
      <c r="AHY226" s="18"/>
      <c r="AHZ226" s="18"/>
      <c r="AIA226" s="18"/>
      <c r="AIB226" s="18"/>
      <c r="AIC226" s="18"/>
      <c r="AID226" s="18"/>
      <c r="AIE226" s="18"/>
      <c r="AIF226" s="18"/>
      <c r="AIG226" s="18"/>
      <c r="AIH226" s="18"/>
      <c r="AII226" s="18"/>
      <c r="AIJ226" s="18"/>
      <c r="AIK226" s="18"/>
      <c r="AIL226" s="18"/>
      <c r="AIM226" s="18"/>
      <c r="AIN226" s="18"/>
      <c r="AIO226" s="18"/>
      <c r="AIP226" s="18"/>
      <c r="AIQ226" s="18"/>
      <c r="AIR226" s="18"/>
      <c r="AIS226" s="18"/>
      <c r="AIT226" s="18"/>
      <c r="AIU226" s="18"/>
      <c r="AIV226" s="18"/>
      <c r="AIW226" s="18"/>
      <c r="AIX226" s="18"/>
      <c r="AIY226" s="18"/>
      <c r="AIZ226" s="18"/>
      <c r="AJA226" s="18"/>
      <c r="AJB226" s="18"/>
      <c r="AJC226" s="18"/>
      <c r="AJD226" s="18"/>
      <c r="AJE226" s="18"/>
      <c r="AJF226" s="18"/>
      <c r="AJG226" s="18"/>
      <c r="AJH226" s="18"/>
      <c r="AJI226" s="18"/>
      <c r="AJJ226" s="18"/>
      <c r="AJK226" s="18"/>
      <c r="AJL226" s="18"/>
      <c r="AJM226" s="18"/>
      <c r="AJN226" s="18"/>
      <c r="AJO226" s="18"/>
      <c r="AJP226" s="18"/>
      <c r="AJQ226" s="18"/>
      <c r="AJR226" s="18"/>
      <c r="AJS226" s="18"/>
      <c r="AJT226" s="18"/>
      <c r="AJU226" s="18"/>
      <c r="AJV226" s="18"/>
      <c r="AJW226" s="18"/>
      <c r="AJX226" s="18"/>
      <c r="AJY226" s="18"/>
      <c r="AJZ226" s="18"/>
      <c r="AKA226" s="18"/>
      <c r="AKB226" s="18"/>
      <c r="AKC226" s="18"/>
      <c r="AKD226" s="18"/>
      <c r="AKE226" s="18"/>
      <c r="AKF226" s="18"/>
      <c r="AKG226" s="18"/>
      <c r="AKH226" s="18"/>
      <c r="AKI226" s="18"/>
      <c r="AKJ226" s="18"/>
      <c r="AKK226" s="18"/>
      <c r="AKL226" s="18"/>
      <c r="AKM226" s="18"/>
      <c r="AKN226" s="18"/>
      <c r="AKO226" s="18"/>
      <c r="AKP226" s="18"/>
      <c r="AKQ226" s="18"/>
      <c r="AKR226" s="18"/>
      <c r="AKS226" s="18"/>
      <c r="AKT226" s="18"/>
      <c r="AKU226" s="18"/>
      <c r="AKV226" s="18"/>
      <c r="AKW226" s="18"/>
      <c r="AKX226" s="18"/>
      <c r="AKY226" s="18"/>
      <c r="AKZ226" s="18"/>
      <c r="ALA226" s="18"/>
      <c r="ALB226" s="18"/>
      <c r="ALC226" s="18"/>
      <c r="ALD226" s="18"/>
      <c r="ALE226" s="18"/>
      <c r="ALF226" s="18"/>
      <c r="ALG226" s="18"/>
      <c r="ALH226" s="18"/>
      <c r="ALI226" s="18"/>
      <c r="ALJ226" s="18"/>
      <c r="ALK226" s="18"/>
      <c r="ALL226" s="18"/>
      <c r="ALM226" s="18"/>
      <c r="ALN226" s="18"/>
      <c r="ALO226" s="18"/>
      <c r="ALP226" s="18"/>
      <c r="ALQ226" s="18"/>
      <c r="ALR226" s="18"/>
      <c r="ALS226" s="18"/>
      <c r="ALT226" s="18"/>
      <c r="ALU226" s="18"/>
      <c r="ALV226" s="18"/>
      <c r="ALW226" s="18"/>
      <c r="ALX226" s="18"/>
      <c r="ALY226" s="18"/>
      <c r="ALZ226" s="18"/>
      <c r="AMA226" s="18"/>
      <c r="AMB226" s="18"/>
      <c r="AMC226" s="18"/>
      <c r="AMD226" s="18"/>
      <c r="AME226" s="18"/>
      <c r="AMF226" s="18"/>
      <c r="AMG226" s="18"/>
      <c r="AMH226" s="18"/>
      <c r="AMI226" s="18"/>
      <c r="AMJ226" s="18"/>
      <c r="AMK226" s="18"/>
      <c r="AML226" s="18"/>
      <c r="AMM226" s="18"/>
      <c r="AMN226" s="18"/>
      <c r="AMO226" s="18"/>
      <c r="AMP226" s="18"/>
      <c r="AMQ226" s="18"/>
      <c r="AMR226" s="18"/>
      <c r="AMS226" s="18"/>
      <c r="AMT226" s="18"/>
      <c r="AMU226" s="18"/>
      <c r="AMV226" s="18"/>
      <c r="AMW226" s="18"/>
      <c r="AMX226" s="18"/>
      <c r="AMY226" s="18"/>
      <c r="AMZ226" s="18"/>
      <c r="ANA226" s="18"/>
      <c r="ANB226" s="18"/>
      <c r="ANC226" s="18"/>
      <c r="AND226" s="18"/>
      <c r="ANE226" s="18"/>
      <c r="ANF226" s="18"/>
      <c r="ANG226" s="18"/>
      <c r="ANH226" s="18"/>
      <c r="ANI226" s="18"/>
      <c r="ANJ226" s="18"/>
      <c r="ANK226" s="18"/>
      <c r="ANL226" s="18"/>
      <c r="ANM226" s="18"/>
      <c r="ANN226" s="18"/>
      <c r="ANO226" s="18"/>
      <c r="ANP226" s="18"/>
      <c r="ANQ226" s="18"/>
      <c r="ANR226" s="18"/>
      <c r="ANS226" s="18"/>
      <c r="ANT226" s="18"/>
      <c r="ANU226" s="18"/>
      <c r="ANV226" s="18"/>
      <c r="ANW226" s="18"/>
      <c r="ANX226" s="18"/>
      <c r="ANY226" s="18"/>
      <c r="ANZ226" s="18"/>
      <c r="AOA226" s="18"/>
      <c r="AOB226" s="18"/>
      <c r="AOC226" s="18"/>
      <c r="AOD226" s="18"/>
      <c r="AOE226" s="18"/>
      <c r="AOF226" s="18"/>
      <c r="AOG226" s="18"/>
      <c r="AOH226" s="18"/>
      <c r="AOI226" s="18"/>
      <c r="AOJ226" s="18"/>
      <c r="AOK226" s="18"/>
      <c r="AOL226" s="18"/>
      <c r="AOM226" s="18"/>
      <c r="AON226" s="18"/>
      <c r="AOO226" s="18"/>
      <c r="AOP226" s="18"/>
      <c r="AOQ226" s="18"/>
      <c r="AOR226" s="18"/>
      <c r="AOS226" s="18"/>
      <c r="AOT226" s="18"/>
      <c r="AOU226" s="18"/>
      <c r="AOV226" s="18"/>
      <c r="AOW226" s="18"/>
      <c r="AOX226" s="18"/>
      <c r="AOY226" s="18"/>
      <c r="AOZ226" s="18"/>
      <c r="APA226" s="18"/>
      <c r="APB226" s="18"/>
      <c r="APC226" s="18"/>
      <c r="APD226" s="18"/>
      <c r="APE226" s="18"/>
      <c r="APF226" s="18"/>
      <c r="APG226" s="18"/>
      <c r="APH226" s="18"/>
      <c r="API226" s="18"/>
      <c r="APJ226" s="18"/>
      <c r="APK226" s="18"/>
      <c r="APL226" s="18"/>
      <c r="APM226" s="18"/>
      <c r="APN226" s="18"/>
      <c r="APO226" s="18"/>
      <c r="APP226" s="18"/>
      <c r="APQ226" s="18"/>
      <c r="APR226" s="18"/>
      <c r="APS226" s="18"/>
      <c r="APT226" s="18"/>
      <c r="APU226" s="18"/>
      <c r="APV226" s="18"/>
      <c r="APW226" s="18"/>
      <c r="APX226" s="18"/>
      <c r="APY226" s="18"/>
      <c r="APZ226" s="18"/>
      <c r="AQA226" s="18"/>
      <c r="AQB226" s="18"/>
      <c r="AQC226" s="18"/>
      <c r="AQD226" s="18"/>
      <c r="AQE226" s="18"/>
      <c r="AQF226" s="18"/>
      <c r="AQG226" s="18"/>
      <c r="AQH226" s="18"/>
      <c r="AQI226" s="18"/>
      <c r="AQJ226" s="18"/>
      <c r="AQK226" s="18"/>
      <c r="AQL226" s="18"/>
      <c r="AQM226" s="18"/>
      <c r="AQN226" s="18"/>
      <c r="AQO226" s="18"/>
      <c r="AQP226" s="18"/>
      <c r="AQQ226" s="18"/>
      <c r="AQR226" s="18"/>
      <c r="AQS226" s="18"/>
      <c r="AQT226" s="18"/>
      <c r="AQU226" s="18"/>
      <c r="AQV226" s="18"/>
      <c r="AQW226" s="18"/>
      <c r="AQX226" s="18"/>
      <c r="AQY226" s="18"/>
      <c r="AQZ226" s="18"/>
      <c r="ARA226" s="18"/>
      <c r="ARB226" s="18"/>
      <c r="ARC226" s="18"/>
      <c r="ARD226" s="18"/>
      <c r="ARE226" s="18"/>
      <c r="ARF226" s="18"/>
      <c r="ARG226" s="18"/>
      <c r="ARH226" s="18"/>
      <c r="ARI226" s="18"/>
      <c r="ARJ226" s="18"/>
      <c r="ARK226" s="18"/>
      <c r="ARL226" s="18"/>
      <c r="ARM226" s="18"/>
      <c r="ARN226" s="18"/>
      <c r="ARO226" s="18"/>
      <c r="ARP226" s="18"/>
      <c r="ARQ226" s="18"/>
      <c r="ARR226" s="18"/>
      <c r="ARS226" s="18"/>
      <c r="ART226" s="18"/>
      <c r="ARU226" s="18"/>
      <c r="ARV226" s="18"/>
      <c r="ARW226" s="18"/>
      <c r="ARX226" s="18"/>
      <c r="ARY226" s="18"/>
      <c r="ARZ226" s="18"/>
      <c r="ASA226" s="18"/>
      <c r="ASB226" s="18"/>
      <c r="ASC226" s="18"/>
      <c r="ASD226" s="18"/>
      <c r="ASE226" s="18"/>
      <c r="ASF226" s="18"/>
      <c r="ASG226" s="18"/>
      <c r="ASH226" s="18"/>
      <c r="ASI226" s="18"/>
      <c r="ASJ226" s="18"/>
      <c r="ASK226" s="18"/>
      <c r="ASL226" s="18"/>
      <c r="ASM226" s="18"/>
      <c r="ASN226" s="18"/>
      <c r="ASO226" s="18"/>
      <c r="ASP226" s="18"/>
      <c r="ASQ226" s="18"/>
      <c r="ASR226" s="18"/>
      <c r="ASS226" s="18"/>
      <c r="AST226" s="18"/>
      <c r="ASU226" s="18"/>
      <c r="ASV226" s="18"/>
      <c r="ASW226" s="18"/>
      <c r="ASX226" s="18"/>
      <c r="ASY226" s="18"/>
      <c r="ASZ226" s="18"/>
      <c r="ATA226" s="18"/>
      <c r="ATB226" s="18"/>
      <c r="ATC226" s="18"/>
      <c r="ATD226" s="18"/>
      <c r="ATE226" s="18"/>
      <c r="ATF226" s="18"/>
      <c r="ATG226" s="18"/>
      <c r="ATH226" s="18"/>
      <c r="ATI226" s="18"/>
      <c r="ATJ226" s="18"/>
      <c r="ATK226" s="18"/>
      <c r="ATL226" s="18"/>
      <c r="ATM226" s="18"/>
      <c r="ATN226" s="18"/>
      <c r="ATO226" s="18"/>
      <c r="ATP226" s="18"/>
      <c r="ATQ226" s="18"/>
      <c r="ATR226" s="18"/>
      <c r="ATS226" s="18"/>
      <c r="ATT226" s="18"/>
      <c r="ATU226" s="18"/>
      <c r="ATV226" s="18"/>
      <c r="ATW226" s="18"/>
      <c r="ATX226" s="18"/>
      <c r="ATY226" s="18"/>
      <c r="ATZ226" s="18"/>
      <c r="AUA226" s="18"/>
      <c r="AUB226" s="18"/>
      <c r="AUC226" s="18"/>
      <c r="AUD226" s="18"/>
      <c r="AUE226" s="18"/>
      <c r="AUF226" s="18"/>
      <c r="AUG226" s="18"/>
      <c r="AUH226" s="18"/>
      <c r="AUI226" s="18"/>
      <c r="AUJ226" s="18"/>
      <c r="AUK226" s="18"/>
      <c r="AUL226" s="18"/>
      <c r="AUM226" s="18"/>
      <c r="AUN226" s="18"/>
      <c r="AUO226" s="18"/>
      <c r="AUP226" s="18"/>
      <c r="AUQ226" s="18"/>
      <c r="AUR226" s="18"/>
      <c r="AUS226" s="18"/>
      <c r="AUT226" s="18"/>
      <c r="AUU226" s="18"/>
      <c r="AUV226" s="18"/>
      <c r="AUW226" s="18"/>
      <c r="AUX226" s="18"/>
      <c r="AUY226" s="18"/>
      <c r="AUZ226" s="18"/>
      <c r="AVA226" s="18"/>
      <c r="AVB226" s="18"/>
      <c r="AVC226" s="18"/>
      <c r="AVD226" s="18"/>
      <c r="AVE226" s="18"/>
      <c r="AVF226" s="18"/>
      <c r="AVG226" s="18"/>
      <c r="AVH226" s="18"/>
      <c r="AVI226" s="18"/>
      <c r="AVJ226" s="18"/>
      <c r="AVK226" s="18"/>
      <c r="AVL226" s="18"/>
      <c r="AVM226" s="18"/>
      <c r="AVN226" s="18"/>
      <c r="AVO226" s="18"/>
      <c r="AVP226" s="18"/>
      <c r="AVQ226" s="18"/>
      <c r="AVR226" s="18"/>
      <c r="AVS226" s="18"/>
      <c r="AVT226" s="18"/>
      <c r="AVU226" s="18"/>
      <c r="AVV226" s="18"/>
      <c r="AVW226" s="18"/>
      <c r="AVX226" s="18"/>
      <c r="AVY226" s="18"/>
      <c r="AVZ226" s="18"/>
      <c r="AWA226" s="18"/>
      <c r="AWB226" s="18"/>
      <c r="AWC226" s="18"/>
      <c r="AWD226" s="18"/>
      <c r="AWE226" s="18"/>
      <c r="AWF226" s="18"/>
      <c r="AWG226" s="18"/>
      <c r="AWH226" s="18"/>
      <c r="AWI226" s="18"/>
      <c r="AWJ226" s="18"/>
      <c r="AWK226" s="18"/>
      <c r="AWL226" s="18"/>
      <c r="AWM226" s="18"/>
      <c r="AWN226" s="18"/>
      <c r="AWO226" s="18"/>
      <c r="AWP226" s="18"/>
      <c r="AWQ226" s="18"/>
      <c r="AWR226" s="18"/>
      <c r="AWS226" s="18"/>
      <c r="AWT226" s="18"/>
      <c r="AWU226" s="18"/>
      <c r="AWV226" s="18"/>
      <c r="AWW226" s="18"/>
      <c r="AWX226" s="18"/>
      <c r="AWY226" s="18"/>
      <c r="AWZ226" s="18"/>
      <c r="AXA226" s="18"/>
      <c r="AXB226" s="18"/>
      <c r="AXC226" s="18"/>
      <c r="AXD226" s="18"/>
      <c r="AXE226" s="18"/>
      <c r="AXF226" s="18"/>
      <c r="AXG226" s="18"/>
      <c r="AXH226" s="18"/>
      <c r="AXI226" s="18"/>
      <c r="AXJ226" s="18"/>
      <c r="AXK226" s="18"/>
      <c r="AXL226" s="18"/>
      <c r="AXM226" s="18"/>
      <c r="AXN226" s="18"/>
      <c r="AXO226" s="18"/>
      <c r="AXP226" s="18"/>
      <c r="AXQ226" s="18"/>
      <c r="AXR226" s="18"/>
      <c r="AXS226" s="18"/>
      <c r="AXT226" s="18"/>
      <c r="AXU226" s="18"/>
      <c r="AXV226" s="18"/>
      <c r="AXW226" s="18"/>
      <c r="AXX226" s="18"/>
      <c r="AXY226" s="18"/>
      <c r="AXZ226" s="18"/>
      <c r="AYA226" s="18"/>
      <c r="AYB226" s="18"/>
      <c r="AYC226" s="18"/>
      <c r="AYD226" s="18"/>
      <c r="AYE226" s="18"/>
      <c r="AYF226" s="18"/>
      <c r="AYG226" s="18"/>
      <c r="AYH226" s="18"/>
      <c r="AYI226" s="18"/>
      <c r="AYJ226" s="18"/>
      <c r="AYK226" s="18"/>
      <c r="AYL226" s="18"/>
      <c r="AYM226" s="18"/>
      <c r="AYN226" s="18"/>
      <c r="AYO226" s="18"/>
      <c r="AYP226" s="18"/>
      <c r="AYQ226" s="18"/>
      <c r="AYR226" s="18"/>
      <c r="AYS226" s="18"/>
      <c r="AYT226" s="18"/>
      <c r="AYU226" s="18"/>
      <c r="AYV226" s="18"/>
      <c r="AYW226" s="18"/>
      <c r="AYX226" s="18"/>
      <c r="AYY226" s="18"/>
      <c r="AYZ226" s="18"/>
      <c r="AZA226" s="18"/>
      <c r="AZB226" s="18"/>
      <c r="AZC226" s="18"/>
      <c r="AZD226" s="18"/>
      <c r="AZE226" s="18"/>
      <c r="AZF226" s="18"/>
      <c r="AZG226" s="18"/>
      <c r="AZH226" s="18"/>
      <c r="AZI226" s="18"/>
      <c r="AZJ226" s="18"/>
      <c r="AZK226" s="18"/>
      <c r="AZL226" s="18"/>
      <c r="AZM226" s="18"/>
      <c r="AZN226" s="18"/>
      <c r="AZO226" s="18"/>
      <c r="AZP226" s="18"/>
      <c r="AZQ226" s="18"/>
      <c r="AZR226" s="18"/>
      <c r="AZS226" s="18"/>
      <c r="AZT226" s="18"/>
      <c r="AZU226" s="18"/>
      <c r="AZV226" s="18"/>
      <c r="AZW226" s="18"/>
      <c r="AZX226" s="18"/>
      <c r="AZY226" s="18"/>
      <c r="AZZ226" s="18"/>
      <c r="BAA226" s="18"/>
      <c r="BAB226" s="18"/>
      <c r="BAC226" s="18"/>
      <c r="BAD226" s="18"/>
      <c r="BAE226" s="18"/>
      <c r="BAF226" s="18"/>
      <c r="BAG226" s="18"/>
      <c r="BAH226" s="18"/>
      <c r="BAI226" s="18"/>
      <c r="BAJ226" s="18"/>
      <c r="BAK226" s="18"/>
      <c r="BAL226" s="18"/>
      <c r="BAM226" s="18"/>
      <c r="BAN226" s="18"/>
      <c r="BAO226" s="18"/>
      <c r="BAP226" s="18"/>
      <c r="BAQ226" s="18"/>
      <c r="BAR226" s="18"/>
      <c r="BAS226" s="18"/>
      <c r="BAT226" s="18"/>
      <c r="BAU226" s="18"/>
      <c r="BAV226" s="18"/>
      <c r="BAW226" s="18"/>
      <c r="BAX226" s="18"/>
      <c r="BAY226" s="18"/>
      <c r="BAZ226" s="18"/>
      <c r="BBA226" s="18"/>
      <c r="BBB226" s="18"/>
      <c r="BBC226" s="18"/>
      <c r="BBD226" s="18"/>
      <c r="BBE226" s="18"/>
      <c r="BBF226" s="18"/>
      <c r="BBG226" s="18"/>
      <c r="BBH226" s="18"/>
      <c r="BBI226" s="18"/>
      <c r="BBJ226" s="18"/>
      <c r="BBK226" s="18"/>
      <c r="BBL226" s="18"/>
      <c r="BBM226" s="18"/>
      <c r="BBN226" s="18"/>
      <c r="BBO226" s="18"/>
      <c r="BBP226" s="18"/>
      <c r="BBQ226" s="18"/>
      <c r="BBR226" s="18"/>
      <c r="BBS226" s="18"/>
      <c r="BBT226" s="18"/>
      <c r="BBU226" s="18"/>
      <c r="BBV226" s="18"/>
      <c r="BBW226" s="18"/>
      <c r="BBX226" s="18"/>
      <c r="BBY226" s="18"/>
      <c r="BBZ226" s="18"/>
      <c r="BCA226" s="18"/>
      <c r="BCB226" s="18"/>
      <c r="BCC226" s="18"/>
      <c r="BCD226" s="18"/>
      <c r="BCE226" s="18"/>
      <c r="BCF226" s="18"/>
      <c r="BCG226" s="18"/>
      <c r="BCH226" s="18"/>
      <c r="BCI226" s="18"/>
      <c r="BCJ226" s="18"/>
      <c r="BCK226" s="18"/>
      <c r="BCL226" s="18"/>
      <c r="BCM226" s="18"/>
      <c r="BCN226" s="18"/>
      <c r="BCO226" s="18"/>
      <c r="BCP226" s="18"/>
      <c r="BCQ226" s="18"/>
      <c r="BCR226" s="18"/>
      <c r="BCS226" s="18"/>
      <c r="BCT226" s="18"/>
      <c r="BCU226" s="18"/>
      <c r="BCV226" s="18"/>
      <c r="BCW226" s="18"/>
      <c r="BCX226" s="18"/>
      <c r="BCY226" s="18"/>
      <c r="BCZ226" s="18"/>
      <c r="BDA226" s="18"/>
      <c r="BDB226" s="18"/>
      <c r="BDC226" s="18"/>
      <c r="BDD226" s="18"/>
      <c r="BDE226" s="18"/>
      <c r="BDF226" s="18"/>
      <c r="BDG226" s="18"/>
      <c r="BDH226" s="18"/>
      <c r="BDI226" s="18"/>
      <c r="BDJ226" s="18"/>
      <c r="BDK226" s="18"/>
      <c r="BDL226" s="18"/>
      <c r="BDM226" s="18"/>
      <c r="BDN226" s="18"/>
      <c r="BDO226" s="18"/>
      <c r="BDP226" s="18"/>
      <c r="BDQ226" s="18"/>
      <c r="BDR226" s="18"/>
      <c r="BDS226" s="18"/>
      <c r="BDT226" s="18"/>
      <c r="BDU226" s="18"/>
      <c r="BDV226" s="18"/>
      <c r="BDW226" s="18"/>
      <c r="BDX226" s="18"/>
      <c r="BDY226" s="18"/>
      <c r="BDZ226" s="18"/>
      <c r="BEA226" s="18"/>
      <c r="BEB226" s="18"/>
      <c r="BEC226" s="18"/>
      <c r="BED226" s="18"/>
      <c r="BEE226" s="18"/>
      <c r="BEF226" s="18"/>
      <c r="BEG226" s="18"/>
      <c r="BEH226" s="18"/>
      <c r="BEI226" s="18"/>
      <c r="BEJ226" s="18"/>
      <c r="BEK226" s="18"/>
      <c r="BEL226" s="18"/>
      <c r="BEM226" s="18"/>
      <c r="BEN226" s="18"/>
      <c r="BEO226" s="18"/>
      <c r="BEP226" s="18"/>
      <c r="BEQ226" s="18"/>
      <c r="BER226" s="18"/>
      <c r="BES226" s="18"/>
      <c r="BET226" s="18"/>
      <c r="BEU226" s="18"/>
      <c r="BEV226" s="18"/>
      <c r="BEW226" s="18"/>
      <c r="BEX226" s="18"/>
      <c r="BEY226" s="18"/>
      <c r="BEZ226" s="18"/>
      <c r="BFA226" s="18"/>
      <c r="BFB226" s="18"/>
      <c r="BFC226" s="18"/>
      <c r="BFD226" s="18"/>
      <c r="BFE226" s="18"/>
      <c r="BFF226" s="18"/>
      <c r="BFG226" s="18"/>
      <c r="BFH226" s="18"/>
      <c r="BFI226" s="18"/>
      <c r="BFJ226" s="18"/>
      <c r="BFK226" s="18"/>
      <c r="BFL226" s="18"/>
      <c r="BFM226" s="18"/>
      <c r="BFN226" s="18"/>
      <c r="BFO226" s="18"/>
      <c r="BFP226" s="18"/>
      <c r="BFQ226" s="18"/>
      <c r="BFR226" s="18"/>
      <c r="BFS226" s="18"/>
      <c r="BFT226" s="18"/>
      <c r="BFU226" s="18"/>
      <c r="BFV226" s="18"/>
      <c r="BFW226" s="18"/>
      <c r="BFX226" s="18"/>
      <c r="BFY226" s="18"/>
      <c r="BFZ226" s="18"/>
      <c r="BGA226" s="18"/>
      <c r="BGB226" s="18"/>
      <c r="BGC226" s="18"/>
      <c r="BGD226" s="18"/>
      <c r="BGE226" s="18"/>
      <c r="BGF226" s="18"/>
      <c r="BGG226" s="18"/>
      <c r="BGH226" s="18"/>
      <c r="BGI226" s="18"/>
      <c r="BGJ226" s="18"/>
      <c r="BGK226" s="18"/>
      <c r="BGL226" s="18"/>
      <c r="BGM226" s="18"/>
      <c r="BGN226" s="18"/>
      <c r="BGO226" s="18"/>
      <c r="BGP226" s="18"/>
      <c r="BGQ226" s="18"/>
      <c r="BGR226" s="18"/>
      <c r="BGS226" s="18"/>
      <c r="BGT226" s="18"/>
      <c r="BGU226" s="18"/>
      <c r="BGV226" s="18"/>
      <c r="BGW226" s="18"/>
      <c r="BGX226" s="18"/>
      <c r="BGY226" s="18"/>
      <c r="BGZ226" s="18"/>
      <c r="BHA226" s="18"/>
      <c r="BHB226" s="18"/>
      <c r="BHC226" s="18"/>
      <c r="BHD226" s="18"/>
      <c r="BHE226" s="18"/>
      <c r="BHF226" s="18"/>
      <c r="BHG226" s="18"/>
      <c r="BHH226" s="18"/>
      <c r="BHI226" s="18"/>
      <c r="BHJ226" s="18"/>
      <c r="BHK226" s="18"/>
      <c r="BHL226" s="18"/>
      <c r="BHM226" s="18"/>
      <c r="BHN226" s="18"/>
      <c r="BHO226" s="18"/>
      <c r="BHP226" s="18"/>
      <c r="BHQ226" s="18"/>
      <c r="BHR226" s="18"/>
      <c r="BHS226" s="18"/>
      <c r="BHT226" s="18"/>
      <c r="BHU226" s="18"/>
      <c r="BHV226" s="18"/>
      <c r="BHW226" s="18"/>
      <c r="BHX226" s="18"/>
      <c r="BHY226" s="18"/>
      <c r="BHZ226" s="18"/>
      <c r="BIA226" s="18"/>
      <c r="BIB226" s="18"/>
      <c r="BIC226" s="18"/>
      <c r="BID226" s="18"/>
      <c r="BIE226" s="18"/>
      <c r="BIF226" s="18"/>
      <c r="BIG226" s="18"/>
      <c r="BIH226" s="18"/>
      <c r="BII226" s="18"/>
      <c r="BIJ226" s="18"/>
      <c r="BIK226" s="18"/>
      <c r="BIL226" s="18"/>
      <c r="BIM226" s="18"/>
      <c r="BIN226" s="18"/>
      <c r="BIO226" s="18"/>
      <c r="BIP226" s="18"/>
      <c r="BIQ226" s="18"/>
      <c r="BIR226" s="18"/>
      <c r="BIS226" s="18"/>
      <c r="BIT226" s="18"/>
      <c r="BIU226" s="18"/>
      <c r="BIV226" s="18"/>
      <c r="BIW226" s="18"/>
      <c r="BIX226" s="18"/>
      <c r="BIY226" s="18"/>
      <c r="BIZ226" s="18"/>
      <c r="BJA226" s="18"/>
      <c r="BJB226" s="18"/>
      <c r="BJC226" s="18"/>
      <c r="BJD226" s="18"/>
      <c r="BJE226" s="18"/>
      <c r="BJF226" s="18"/>
      <c r="BJG226" s="18"/>
      <c r="BJH226" s="18"/>
      <c r="BJI226" s="18"/>
      <c r="BJJ226" s="18"/>
      <c r="BJK226" s="18"/>
      <c r="BJL226" s="18"/>
      <c r="BJM226" s="18"/>
      <c r="BJN226" s="18"/>
      <c r="BJO226" s="18"/>
      <c r="BJP226" s="18"/>
      <c r="BJQ226" s="18"/>
      <c r="BJR226" s="18"/>
      <c r="BJS226" s="18"/>
      <c r="BJT226" s="18"/>
      <c r="BJU226" s="18"/>
      <c r="BJV226" s="18"/>
      <c r="BJW226" s="18"/>
      <c r="BJX226" s="18"/>
      <c r="BJY226" s="18"/>
      <c r="BJZ226" s="18"/>
      <c r="BKA226" s="18"/>
      <c r="BKB226" s="18"/>
      <c r="BKC226" s="18"/>
      <c r="BKD226" s="18"/>
      <c r="BKE226" s="18"/>
      <c r="BKF226" s="18"/>
      <c r="BKG226" s="18"/>
      <c r="BKH226" s="18"/>
      <c r="BKI226" s="18"/>
      <c r="BKJ226" s="18"/>
      <c r="BKK226" s="18"/>
      <c r="BKL226" s="18"/>
      <c r="BKM226" s="18"/>
      <c r="BKN226" s="18"/>
      <c r="BKO226" s="18"/>
      <c r="BKP226" s="18"/>
      <c r="BKQ226" s="18"/>
      <c r="BKR226" s="18"/>
      <c r="BKS226" s="18"/>
      <c r="BKT226" s="18"/>
      <c r="BKU226" s="18"/>
      <c r="BKV226" s="18"/>
      <c r="BKW226" s="18"/>
      <c r="BKX226" s="18"/>
      <c r="BKY226" s="18"/>
      <c r="BKZ226" s="18"/>
      <c r="BLA226" s="18"/>
      <c r="BLB226" s="18"/>
      <c r="BLC226" s="18"/>
      <c r="BLD226" s="18"/>
      <c r="BLE226" s="18"/>
      <c r="BLF226" s="18"/>
      <c r="BLG226" s="18"/>
      <c r="BLH226" s="18"/>
      <c r="BLI226" s="18"/>
      <c r="BLJ226" s="18"/>
      <c r="BLK226" s="18"/>
      <c r="BLL226" s="18"/>
      <c r="BLM226" s="18"/>
      <c r="BLN226" s="18"/>
      <c r="BLO226" s="18"/>
      <c r="BLP226" s="18"/>
      <c r="BLQ226" s="18"/>
      <c r="BLR226" s="18"/>
      <c r="BLS226" s="18"/>
      <c r="BLT226" s="18"/>
      <c r="BLU226" s="18"/>
      <c r="BLV226" s="18"/>
      <c r="BLW226" s="18"/>
      <c r="BLX226" s="18"/>
      <c r="BLY226" s="18"/>
      <c r="BLZ226" s="18"/>
      <c r="BMA226" s="18"/>
      <c r="BMB226" s="18"/>
      <c r="BMC226" s="18"/>
      <c r="BMD226" s="18"/>
      <c r="BME226" s="18"/>
      <c r="BMF226" s="18"/>
      <c r="BMG226" s="18"/>
      <c r="BMH226" s="18"/>
      <c r="BMI226" s="18"/>
      <c r="BMJ226" s="18"/>
      <c r="BMK226" s="18"/>
      <c r="BML226" s="18"/>
      <c r="BMM226" s="18"/>
      <c r="BMN226" s="18"/>
      <c r="BMO226" s="18"/>
      <c r="BMP226" s="18"/>
      <c r="BMQ226" s="18"/>
      <c r="BMR226" s="18"/>
      <c r="BMS226" s="18"/>
      <c r="BMT226" s="18"/>
      <c r="BMU226" s="18"/>
      <c r="BMV226" s="18"/>
      <c r="BMW226" s="18"/>
      <c r="BMX226" s="18"/>
      <c r="BMY226" s="18"/>
      <c r="BMZ226" s="18"/>
      <c r="BNA226" s="18"/>
      <c r="BNB226" s="18"/>
      <c r="BNC226" s="18"/>
      <c r="BND226" s="18"/>
      <c r="BNE226" s="18"/>
      <c r="BNF226" s="18"/>
      <c r="BNG226" s="18"/>
      <c r="BNH226" s="18"/>
      <c r="BNI226" s="18"/>
      <c r="BNJ226" s="18"/>
      <c r="BNK226" s="18"/>
      <c r="BNL226" s="18"/>
      <c r="BNM226" s="18"/>
      <c r="BNN226" s="18"/>
      <c r="BNO226" s="18"/>
      <c r="BNP226" s="18"/>
      <c r="BNQ226" s="18"/>
      <c r="BNR226" s="18"/>
      <c r="BNS226" s="18"/>
      <c r="BNT226" s="18"/>
      <c r="BNU226" s="18"/>
      <c r="BNV226" s="18"/>
      <c r="BNW226" s="18"/>
      <c r="BNX226" s="18"/>
      <c r="BNY226" s="18"/>
      <c r="BNZ226" s="18"/>
      <c r="BOA226" s="18"/>
      <c r="BOB226" s="18"/>
      <c r="BOC226" s="18"/>
      <c r="BOD226" s="18"/>
      <c r="BOE226" s="18"/>
      <c r="BOF226" s="18"/>
      <c r="BOG226" s="18"/>
      <c r="BOH226" s="18"/>
      <c r="BOI226" s="18"/>
      <c r="BOJ226" s="18"/>
      <c r="BOK226" s="18"/>
      <c r="BOL226" s="18"/>
      <c r="BOM226" s="18"/>
      <c r="BON226" s="18"/>
      <c r="BOO226" s="18"/>
      <c r="BOP226" s="18"/>
      <c r="BOQ226" s="18"/>
      <c r="BOR226" s="18"/>
      <c r="BOS226" s="18"/>
      <c r="BOT226" s="18"/>
      <c r="BOU226" s="18"/>
      <c r="BOV226" s="18"/>
      <c r="BOW226" s="18"/>
      <c r="BOX226" s="18"/>
      <c r="BOY226" s="18"/>
      <c r="BOZ226" s="18"/>
      <c r="BPA226" s="18"/>
      <c r="BPB226" s="18"/>
      <c r="BPC226" s="18"/>
      <c r="BPD226" s="18"/>
      <c r="BPE226" s="18"/>
      <c r="BPF226" s="18"/>
      <c r="BPG226" s="18"/>
      <c r="BPH226" s="18"/>
      <c r="BPI226" s="18"/>
      <c r="BPJ226" s="18"/>
      <c r="BPK226" s="18"/>
      <c r="BPL226" s="18"/>
      <c r="BPM226" s="18"/>
      <c r="BPN226" s="18"/>
      <c r="BPO226" s="18"/>
      <c r="BPP226" s="18"/>
      <c r="BPQ226" s="18"/>
      <c r="BPR226" s="18"/>
      <c r="BPS226" s="18"/>
      <c r="BPT226" s="18"/>
      <c r="BPU226" s="18"/>
      <c r="BPV226" s="18"/>
      <c r="BPW226" s="18"/>
      <c r="BPX226" s="18"/>
      <c r="BPY226" s="18"/>
      <c r="BPZ226" s="18"/>
      <c r="BQA226" s="18"/>
      <c r="BQB226" s="18"/>
      <c r="BQC226" s="18"/>
      <c r="BQD226" s="18"/>
      <c r="BQE226" s="18"/>
      <c r="BQF226" s="18"/>
      <c r="BQG226" s="18"/>
      <c r="BQH226" s="18"/>
      <c r="BQI226" s="18"/>
      <c r="BQJ226" s="18"/>
      <c r="BQK226" s="18"/>
      <c r="BQL226" s="18"/>
      <c r="BQM226" s="18"/>
      <c r="BQN226" s="18"/>
      <c r="BQO226" s="18"/>
      <c r="BQP226" s="18"/>
      <c r="BQQ226" s="18"/>
      <c r="BQR226" s="18"/>
      <c r="BQS226" s="18"/>
      <c r="BQT226" s="18"/>
      <c r="BQU226" s="18"/>
      <c r="BQV226" s="18"/>
      <c r="BQW226" s="18"/>
      <c r="BQX226" s="18"/>
      <c r="BQY226" s="18"/>
      <c r="BQZ226" s="18"/>
      <c r="BRA226" s="18"/>
      <c r="BRB226" s="18"/>
      <c r="BRC226" s="18"/>
      <c r="BRD226" s="18"/>
      <c r="BRE226" s="18"/>
      <c r="BRF226" s="18"/>
      <c r="BRG226" s="18"/>
      <c r="BRH226" s="18"/>
      <c r="BRI226" s="18"/>
      <c r="BRJ226" s="18"/>
      <c r="BRK226" s="18"/>
      <c r="BRL226" s="18"/>
      <c r="BRM226" s="18"/>
      <c r="BRN226" s="18"/>
      <c r="BRO226" s="18"/>
      <c r="BRP226" s="18"/>
      <c r="BRQ226" s="18"/>
      <c r="BRR226" s="18"/>
      <c r="BRS226" s="18"/>
      <c r="BRT226" s="18"/>
      <c r="BRU226" s="18"/>
      <c r="BRV226" s="18"/>
      <c r="BRW226" s="18"/>
      <c r="BRX226" s="18"/>
      <c r="BRY226" s="18"/>
      <c r="BRZ226" s="18"/>
      <c r="BSA226" s="18"/>
      <c r="BSB226" s="18"/>
      <c r="BSC226" s="18"/>
      <c r="BSD226" s="18"/>
      <c r="BSE226" s="18"/>
      <c r="BSF226" s="18"/>
      <c r="BSG226" s="18"/>
      <c r="BSH226" s="18"/>
      <c r="BSI226" s="18"/>
      <c r="BSJ226" s="18"/>
      <c r="BSK226" s="18"/>
      <c r="BSL226" s="18"/>
      <c r="BSM226" s="18"/>
      <c r="BSN226" s="18"/>
      <c r="BSO226" s="18"/>
      <c r="BSP226" s="18"/>
      <c r="BSQ226" s="18"/>
      <c r="BSR226" s="18"/>
      <c r="BSS226" s="18"/>
      <c r="BST226" s="18"/>
      <c r="BSU226" s="18"/>
      <c r="BSV226" s="18"/>
      <c r="BSW226" s="18"/>
      <c r="BSX226" s="18"/>
      <c r="BSY226" s="18"/>
      <c r="BSZ226" s="18"/>
      <c r="BTA226" s="18"/>
      <c r="BTB226" s="18"/>
      <c r="BTC226" s="18"/>
      <c r="BTD226" s="18"/>
      <c r="BTE226" s="18"/>
      <c r="BTF226" s="18"/>
      <c r="BTG226" s="18"/>
      <c r="BTH226" s="18"/>
      <c r="BTI226" s="18"/>
    </row>
    <row r="227" spans="1:1881" s="426" customFormat="1" ht="53.25" customHeight="1" x14ac:dyDescent="0.3">
      <c r="A227" s="100">
        <v>599</v>
      </c>
      <c r="B227" s="373" t="s">
        <v>58</v>
      </c>
      <c r="C227" s="373" t="s">
        <v>285</v>
      </c>
      <c r="D227" s="26" t="s">
        <v>339</v>
      </c>
      <c r="E227" s="371" t="e">
        <f>INDEX('PY1 Data(H)'!$A$1:$CZ$265,MATCH('Unit Data from Audit Worksheet'!$A227,'PY1 Data(H)'!$A$1:$A$258,0),MATCH('Unit Data from Audit Worksheet'!$D$2,'PY1 Data(H)'!$A$1:$CZ$1,0))</f>
        <v>#N/A</v>
      </c>
      <c r="F227" s="793">
        <v>0</v>
      </c>
      <c r="G227" s="430" t="str">
        <f>IF(ISBLANK(F227),"Please do not leave blank","")</f>
        <v/>
      </c>
      <c r="H227" s="401">
        <f>IF(F227&lt;0,"Error: Enter as positive.",)</f>
        <v>0</v>
      </c>
      <c r="I227" s="17"/>
      <c r="J227" s="72"/>
      <c r="K227"/>
      <c r="L227" s="547"/>
      <c r="M227"/>
      <c r="N227" s="18"/>
      <c r="O227" s="186"/>
      <c r="P227" s="18"/>
      <c r="Q227" s="18"/>
      <c r="R227" s="18"/>
      <c r="S227" s="18"/>
      <c r="T227" s="18"/>
      <c r="U227" s="18"/>
      <c r="V227" s="18"/>
      <c r="W227" s="18"/>
      <c r="X227" s="18"/>
      <c r="Y227" s="18"/>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18"/>
      <c r="JH227" s="18"/>
      <c r="JI227" s="18"/>
      <c r="JJ227" s="18"/>
      <c r="JK227" s="18"/>
      <c r="JL227" s="18"/>
      <c r="JM227" s="18"/>
      <c r="JN227" s="18"/>
      <c r="JO227" s="18"/>
      <c r="JP227" s="18"/>
      <c r="JQ227" s="18"/>
      <c r="JR227" s="18"/>
      <c r="JS227" s="18"/>
      <c r="JT227" s="18"/>
      <c r="JU227" s="18"/>
      <c r="JV227" s="18"/>
      <c r="JW227" s="18"/>
      <c r="JX227" s="18"/>
      <c r="JY227" s="18"/>
      <c r="JZ227" s="18"/>
      <c r="KA227" s="18"/>
      <c r="KB227" s="18"/>
      <c r="KC227" s="18"/>
      <c r="KD227" s="18"/>
      <c r="KE227" s="18"/>
      <c r="KF227" s="18"/>
      <c r="KG227" s="18"/>
      <c r="KH227" s="18"/>
      <c r="KI227" s="18"/>
      <c r="KJ227" s="18"/>
      <c r="KK227" s="18"/>
      <c r="KL227" s="18"/>
      <c r="KM227" s="18"/>
      <c r="KN227" s="18"/>
      <c r="KO227" s="18"/>
      <c r="KP227" s="18"/>
      <c r="KQ227" s="18"/>
      <c r="KR227" s="18"/>
      <c r="KS227" s="18"/>
      <c r="KT227" s="18"/>
      <c r="KU227" s="18"/>
      <c r="KV227" s="18"/>
      <c r="KW227" s="18"/>
      <c r="KX227" s="18"/>
      <c r="KY227" s="18"/>
      <c r="KZ227" s="18"/>
      <c r="LA227" s="18"/>
      <c r="LB227" s="18"/>
      <c r="LC227" s="18"/>
      <c r="LD227" s="18"/>
      <c r="LE227" s="18"/>
      <c r="LF227" s="18"/>
      <c r="LG227" s="18"/>
      <c r="LH227" s="18"/>
      <c r="LI227" s="18"/>
      <c r="LJ227" s="18"/>
      <c r="LK227" s="18"/>
      <c r="LL227" s="18"/>
      <c r="LM227" s="18"/>
      <c r="LN227" s="18"/>
      <c r="LO227" s="18"/>
      <c r="LP227" s="18"/>
      <c r="LQ227" s="18"/>
      <c r="LR227" s="18"/>
      <c r="LS227" s="18"/>
      <c r="LT227" s="18"/>
      <c r="LU227" s="18"/>
      <c r="LV227" s="18"/>
      <c r="LW227" s="18"/>
      <c r="LX227" s="18"/>
      <c r="LY227" s="18"/>
      <c r="LZ227" s="18"/>
      <c r="MA227" s="18"/>
      <c r="MB227" s="18"/>
      <c r="MC227" s="18"/>
      <c r="MD227" s="18"/>
      <c r="ME227" s="18"/>
      <c r="MF227" s="18"/>
      <c r="MG227" s="18"/>
      <c r="MH227" s="18"/>
      <c r="MI227" s="18"/>
      <c r="MJ227" s="18"/>
      <c r="MK227" s="18"/>
      <c r="ML227" s="18"/>
      <c r="MM227" s="18"/>
      <c r="MN227" s="18"/>
      <c r="MO227" s="18"/>
      <c r="MP227" s="18"/>
      <c r="MQ227" s="18"/>
      <c r="MR227" s="18"/>
      <c r="MS227" s="18"/>
      <c r="MT227" s="18"/>
      <c r="MU227" s="18"/>
      <c r="MV227" s="18"/>
      <c r="MW227" s="18"/>
      <c r="MX227" s="18"/>
      <c r="MY227" s="18"/>
      <c r="MZ227" s="18"/>
      <c r="NA227" s="18"/>
      <c r="NB227" s="18"/>
      <c r="NC227" s="18"/>
      <c r="ND227" s="18"/>
      <c r="NE227" s="18"/>
      <c r="NF227" s="18"/>
      <c r="NG227" s="18"/>
      <c r="NH227" s="18"/>
      <c r="NI227" s="18"/>
      <c r="NJ227" s="18"/>
      <c r="NK227" s="18"/>
      <c r="NL227" s="18"/>
      <c r="NM227" s="18"/>
      <c r="NN227" s="18"/>
      <c r="NO227" s="18"/>
      <c r="NP227" s="18"/>
      <c r="NQ227" s="18"/>
      <c r="NR227" s="18"/>
      <c r="NS227" s="18"/>
      <c r="NT227" s="18"/>
      <c r="NU227" s="18"/>
      <c r="NV227" s="18"/>
      <c r="NW227" s="18"/>
      <c r="NX227" s="18"/>
      <c r="NY227" s="18"/>
      <c r="NZ227" s="18"/>
      <c r="OA227" s="18"/>
      <c r="OB227" s="18"/>
      <c r="OC227" s="18"/>
      <c r="OD227" s="18"/>
      <c r="OE227" s="18"/>
      <c r="OF227" s="18"/>
      <c r="OG227" s="18"/>
      <c r="OH227" s="18"/>
      <c r="OI227" s="18"/>
      <c r="OJ227" s="18"/>
      <c r="OK227" s="18"/>
      <c r="OL227" s="18"/>
      <c r="OM227" s="18"/>
      <c r="ON227" s="18"/>
      <c r="OO227" s="18"/>
      <c r="OP227" s="18"/>
      <c r="OQ227" s="18"/>
      <c r="OR227" s="18"/>
      <c r="OS227" s="18"/>
      <c r="OT227" s="18"/>
      <c r="OU227" s="18"/>
      <c r="OV227" s="18"/>
      <c r="OW227" s="18"/>
      <c r="OX227" s="18"/>
      <c r="OY227" s="18"/>
      <c r="OZ227" s="18"/>
      <c r="PA227" s="18"/>
      <c r="PB227" s="18"/>
      <c r="PC227" s="18"/>
      <c r="PD227" s="18"/>
      <c r="PE227" s="18"/>
      <c r="PF227" s="18"/>
      <c r="PG227" s="18"/>
      <c r="PH227" s="18"/>
      <c r="PI227" s="18"/>
      <c r="PJ227" s="18"/>
      <c r="PK227" s="18"/>
      <c r="PL227" s="18"/>
      <c r="PM227" s="18"/>
      <c r="PN227" s="18"/>
      <c r="PO227" s="18"/>
      <c r="PP227" s="18"/>
      <c r="PQ227" s="18"/>
      <c r="PR227" s="18"/>
      <c r="PS227" s="18"/>
      <c r="PT227" s="18"/>
      <c r="PU227" s="18"/>
      <c r="PV227" s="18"/>
      <c r="PW227" s="18"/>
      <c r="PX227" s="18"/>
      <c r="PY227" s="18"/>
      <c r="PZ227" s="18"/>
      <c r="QA227" s="18"/>
      <c r="QB227" s="18"/>
      <c r="QC227" s="18"/>
      <c r="QD227" s="18"/>
      <c r="QE227" s="18"/>
      <c r="QF227" s="18"/>
      <c r="QG227" s="18"/>
      <c r="QH227" s="18"/>
      <c r="QI227" s="18"/>
      <c r="QJ227" s="18"/>
      <c r="QK227" s="18"/>
      <c r="QL227" s="18"/>
      <c r="QM227" s="18"/>
      <c r="QN227" s="18"/>
      <c r="QO227" s="18"/>
      <c r="QP227" s="18"/>
      <c r="QQ227" s="18"/>
      <c r="QR227" s="18"/>
      <c r="QS227" s="18"/>
      <c r="QT227" s="18"/>
      <c r="QU227" s="18"/>
      <c r="QV227" s="18"/>
      <c r="QW227" s="18"/>
      <c r="QX227" s="18"/>
      <c r="QY227" s="18"/>
      <c r="QZ227" s="18"/>
      <c r="RA227" s="18"/>
      <c r="RB227" s="18"/>
      <c r="RC227" s="18"/>
      <c r="RD227" s="18"/>
      <c r="RE227" s="18"/>
      <c r="RF227" s="18"/>
      <c r="RG227" s="18"/>
      <c r="RH227" s="18"/>
      <c r="RI227" s="18"/>
      <c r="RJ227" s="18"/>
      <c r="RK227" s="18"/>
      <c r="RL227" s="18"/>
      <c r="RM227" s="18"/>
      <c r="RN227" s="18"/>
      <c r="RO227" s="18"/>
      <c r="RP227" s="18"/>
      <c r="RQ227" s="18"/>
      <c r="RR227" s="18"/>
      <c r="RS227" s="18"/>
      <c r="RT227" s="18"/>
      <c r="RU227" s="18"/>
      <c r="RV227" s="18"/>
      <c r="RW227" s="18"/>
      <c r="RX227" s="18"/>
      <c r="RY227" s="18"/>
      <c r="RZ227" s="18"/>
      <c r="SA227" s="18"/>
      <c r="SB227" s="18"/>
      <c r="SC227" s="18"/>
      <c r="SD227" s="18"/>
      <c r="SE227" s="18"/>
      <c r="SF227" s="18"/>
      <c r="SG227" s="18"/>
      <c r="SH227" s="18"/>
      <c r="SI227" s="18"/>
      <c r="SJ227" s="18"/>
      <c r="SK227" s="18"/>
      <c r="SL227" s="18"/>
      <c r="SM227" s="18"/>
      <c r="SN227" s="18"/>
      <c r="SO227" s="18"/>
      <c r="SP227" s="18"/>
      <c r="SQ227" s="18"/>
      <c r="SR227" s="18"/>
      <c r="SS227" s="18"/>
      <c r="ST227" s="18"/>
      <c r="SU227" s="18"/>
      <c r="SV227" s="18"/>
      <c r="SW227" s="18"/>
      <c r="SX227" s="18"/>
      <c r="SY227" s="18"/>
      <c r="SZ227" s="18"/>
      <c r="TA227" s="18"/>
      <c r="TB227" s="18"/>
      <c r="TC227" s="18"/>
      <c r="TD227" s="18"/>
      <c r="TE227" s="18"/>
      <c r="TF227" s="18"/>
      <c r="TG227" s="18"/>
      <c r="TH227" s="18"/>
      <c r="TI227" s="18"/>
      <c r="TJ227" s="18"/>
      <c r="TK227" s="18"/>
      <c r="TL227" s="18"/>
      <c r="TM227" s="18"/>
      <c r="TN227" s="18"/>
      <c r="TO227" s="18"/>
      <c r="TP227" s="18"/>
      <c r="TQ227" s="18"/>
      <c r="TR227" s="18"/>
      <c r="TS227" s="18"/>
      <c r="TT227" s="18"/>
      <c r="TU227" s="18"/>
      <c r="TV227" s="18"/>
      <c r="TW227" s="18"/>
      <c r="TX227" s="18"/>
      <c r="TY227" s="18"/>
      <c r="TZ227" s="18"/>
      <c r="UA227" s="18"/>
      <c r="UB227" s="18"/>
      <c r="UC227" s="18"/>
      <c r="UD227" s="18"/>
      <c r="UE227" s="18"/>
      <c r="UF227" s="18"/>
      <c r="UG227" s="18"/>
      <c r="UH227" s="18"/>
      <c r="UI227" s="18"/>
      <c r="UJ227" s="18"/>
      <c r="UK227" s="18"/>
      <c r="UL227" s="18"/>
      <c r="UM227" s="18"/>
      <c r="UN227" s="18"/>
      <c r="UO227" s="18"/>
      <c r="UP227" s="18"/>
      <c r="UQ227" s="18"/>
      <c r="UR227" s="18"/>
      <c r="US227" s="18"/>
      <c r="UT227" s="18"/>
      <c r="UU227" s="18"/>
      <c r="UV227" s="18"/>
      <c r="UW227" s="18"/>
      <c r="UX227" s="18"/>
      <c r="UY227" s="18"/>
      <c r="UZ227" s="18"/>
      <c r="VA227" s="18"/>
      <c r="VB227" s="18"/>
      <c r="VC227" s="18"/>
      <c r="VD227" s="18"/>
      <c r="VE227" s="18"/>
      <c r="VF227" s="18"/>
      <c r="VG227" s="18"/>
      <c r="VH227" s="18"/>
      <c r="VI227" s="18"/>
      <c r="VJ227" s="18"/>
      <c r="VK227" s="18"/>
      <c r="VL227" s="18"/>
      <c r="VM227" s="18"/>
      <c r="VN227" s="18"/>
      <c r="VO227" s="18"/>
      <c r="VP227" s="18"/>
      <c r="VQ227" s="18"/>
      <c r="VR227" s="18"/>
      <c r="VS227" s="18"/>
      <c r="VT227" s="18"/>
      <c r="VU227" s="18"/>
      <c r="VV227" s="18"/>
      <c r="VW227" s="18"/>
      <c r="VX227" s="18"/>
      <c r="VY227" s="18"/>
      <c r="VZ227" s="18"/>
      <c r="WA227" s="18"/>
      <c r="WB227" s="18"/>
      <c r="WC227" s="18"/>
      <c r="WD227" s="18"/>
      <c r="WE227" s="18"/>
      <c r="WF227" s="18"/>
      <c r="WG227" s="18"/>
      <c r="WH227" s="18"/>
      <c r="WI227" s="18"/>
      <c r="WJ227" s="18"/>
      <c r="WK227" s="18"/>
      <c r="WL227" s="18"/>
      <c r="WM227" s="18"/>
      <c r="WN227" s="18"/>
      <c r="WO227" s="18"/>
      <c r="WP227" s="18"/>
      <c r="WQ227" s="18"/>
      <c r="WR227" s="18"/>
      <c r="WS227" s="18"/>
      <c r="WT227" s="18"/>
      <c r="WU227" s="18"/>
      <c r="WV227" s="18"/>
      <c r="WW227" s="18"/>
      <c r="WX227" s="18"/>
      <c r="WY227" s="18"/>
      <c r="WZ227" s="18"/>
      <c r="XA227" s="18"/>
      <c r="XB227" s="18"/>
      <c r="XC227" s="18"/>
      <c r="XD227" s="18"/>
      <c r="XE227" s="18"/>
      <c r="XF227" s="18"/>
      <c r="XG227" s="18"/>
      <c r="XH227" s="18"/>
      <c r="XI227" s="18"/>
      <c r="XJ227" s="18"/>
      <c r="XK227" s="18"/>
      <c r="XL227" s="18"/>
      <c r="XM227" s="18"/>
      <c r="XN227" s="18"/>
      <c r="XO227" s="18"/>
      <c r="XP227" s="18"/>
      <c r="XQ227" s="18"/>
      <c r="XR227" s="18"/>
      <c r="XS227" s="18"/>
      <c r="XT227" s="18"/>
      <c r="XU227" s="18"/>
      <c r="XV227" s="18"/>
      <c r="XW227" s="18"/>
      <c r="XX227" s="18"/>
      <c r="XY227" s="18"/>
      <c r="XZ227" s="18"/>
      <c r="YA227" s="18"/>
      <c r="YB227" s="18"/>
      <c r="YC227" s="18"/>
      <c r="YD227" s="18"/>
      <c r="YE227" s="18"/>
      <c r="YF227" s="18"/>
      <c r="YG227" s="18"/>
      <c r="YH227" s="18"/>
      <c r="YI227" s="18"/>
      <c r="YJ227" s="18"/>
      <c r="YK227" s="18"/>
      <c r="YL227" s="18"/>
      <c r="YM227" s="18"/>
      <c r="YN227" s="18"/>
      <c r="YO227" s="18"/>
      <c r="YP227" s="18"/>
      <c r="YQ227" s="18"/>
      <c r="YR227" s="18"/>
      <c r="YS227" s="18"/>
      <c r="YT227" s="18"/>
      <c r="YU227" s="18"/>
      <c r="YV227" s="18"/>
      <c r="YW227" s="18"/>
      <c r="YX227" s="18"/>
      <c r="YY227" s="18"/>
      <c r="YZ227" s="18"/>
      <c r="ZA227" s="18"/>
      <c r="ZB227" s="18"/>
      <c r="ZC227" s="18"/>
      <c r="ZD227" s="18"/>
      <c r="ZE227" s="18"/>
      <c r="ZF227" s="18"/>
      <c r="ZG227" s="18"/>
      <c r="ZH227" s="18"/>
      <c r="ZI227" s="18"/>
      <c r="ZJ227" s="18"/>
      <c r="ZK227" s="18"/>
      <c r="ZL227" s="18"/>
      <c r="ZM227" s="18"/>
      <c r="ZN227" s="18"/>
      <c r="ZO227" s="18"/>
      <c r="ZP227" s="18"/>
      <c r="ZQ227" s="18"/>
      <c r="ZR227" s="18"/>
      <c r="ZS227" s="18"/>
      <c r="ZT227" s="18"/>
      <c r="ZU227" s="18"/>
      <c r="ZV227" s="18"/>
      <c r="ZW227" s="18"/>
      <c r="ZX227" s="18"/>
      <c r="ZY227" s="18"/>
      <c r="ZZ227" s="18"/>
      <c r="AAA227" s="18"/>
      <c r="AAB227" s="18"/>
      <c r="AAC227" s="18"/>
      <c r="AAD227" s="18"/>
      <c r="AAE227" s="18"/>
      <c r="AAF227" s="18"/>
      <c r="AAG227" s="18"/>
      <c r="AAH227" s="18"/>
      <c r="AAI227" s="18"/>
      <c r="AAJ227" s="18"/>
      <c r="AAK227" s="18"/>
      <c r="AAL227" s="18"/>
      <c r="AAM227" s="18"/>
      <c r="AAN227" s="18"/>
      <c r="AAO227" s="18"/>
      <c r="AAP227" s="18"/>
      <c r="AAQ227" s="18"/>
      <c r="AAR227" s="18"/>
      <c r="AAS227" s="18"/>
      <c r="AAT227" s="18"/>
      <c r="AAU227" s="18"/>
      <c r="AAV227" s="18"/>
      <c r="AAW227" s="18"/>
      <c r="AAX227" s="18"/>
      <c r="AAY227" s="18"/>
      <c r="AAZ227" s="18"/>
      <c r="ABA227" s="18"/>
      <c r="ABB227" s="18"/>
      <c r="ABC227" s="18"/>
      <c r="ABD227" s="18"/>
      <c r="ABE227" s="18"/>
      <c r="ABF227" s="18"/>
      <c r="ABG227" s="18"/>
      <c r="ABH227" s="18"/>
      <c r="ABI227" s="18"/>
      <c r="ABJ227" s="18"/>
      <c r="ABK227" s="18"/>
      <c r="ABL227" s="18"/>
      <c r="ABM227" s="18"/>
      <c r="ABN227" s="18"/>
      <c r="ABO227" s="18"/>
      <c r="ABP227" s="18"/>
      <c r="ABQ227" s="18"/>
      <c r="ABR227" s="18"/>
      <c r="ABS227" s="18"/>
      <c r="ABT227" s="18"/>
      <c r="ABU227" s="18"/>
      <c r="ABV227" s="18"/>
      <c r="ABW227" s="18"/>
      <c r="ABX227" s="18"/>
      <c r="ABY227" s="18"/>
      <c r="ABZ227" s="18"/>
      <c r="ACA227" s="18"/>
      <c r="ACB227" s="18"/>
      <c r="ACC227" s="18"/>
      <c r="ACD227" s="18"/>
      <c r="ACE227" s="18"/>
      <c r="ACF227" s="18"/>
      <c r="ACG227" s="18"/>
      <c r="ACH227" s="18"/>
      <c r="ACI227" s="18"/>
      <c r="ACJ227" s="18"/>
      <c r="ACK227" s="18"/>
      <c r="ACL227" s="18"/>
      <c r="ACM227" s="18"/>
      <c r="ACN227" s="18"/>
      <c r="ACO227" s="18"/>
      <c r="ACP227" s="18"/>
      <c r="ACQ227" s="18"/>
      <c r="ACR227" s="18"/>
      <c r="ACS227" s="18"/>
      <c r="ACT227" s="18"/>
      <c r="ACU227" s="18"/>
      <c r="ACV227" s="18"/>
      <c r="ACW227" s="18"/>
      <c r="ACX227" s="18"/>
      <c r="ACY227" s="18"/>
      <c r="ACZ227" s="18"/>
      <c r="ADA227" s="18"/>
      <c r="ADB227" s="18"/>
      <c r="ADC227" s="18"/>
      <c r="ADD227" s="18"/>
      <c r="ADE227" s="18"/>
      <c r="ADF227" s="18"/>
      <c r="ADG227" s="18"/>
      <c r="ADH227" s="18"/>
      <c r="ADI227" s="18"/>
      <c r="ADJ227" s="18"/>
      <c r="ADK227" s="18"/>
      <c r="ADL227" s="18"/>
      <c r="ADM227" s="18"/>
      <c r="ADN227" s="18"/>
      <c r="ADO227" s="18"/>
      <c r="ADP227" s="18"/>
      <c r="ADQ227" s="18"/>
      <c r="ADR227" s="18"/>
      <c r="ADS227" s="18"/>
      <c r="ADT227" s="18"/>
      <c r="ADU227" s="18"/>
      <c r="ADV227" s="18"/>
      <c r="ADW227" s="18"/>
      <c r="ADX227" s="18"/>
      <c r="ADY227" s="18"/>
      <c r="ADZ227" s="18"/>
      <c r="AEA227" s="18"/>
      <c r="AEB227" s="18"/>
      <c r="AEC227" s="18"/>
      <c r="AED227" s="18"/>
      <c r="AEE227" s="18"/>
      <c r="AEF227" s="18"/>
      <c r="AEG227" s="18"/>
      <c r="AEH227" s="18"/>
      <c r="AEI227" s="18"/>
      <c r="AEJ227" s="18"/>
      <c r="AEK227" s="18"/>
      <c r="AEL227" s="18"/>
      <c r="AEM227" s="18"/>
      <c r="AEN227" s="18"/>
      <c r="AEO227" s="18"/>
      <c r="AEP227" s="18"/>
      <c r="AEQ227" s="18"/>
      <c r="AER227" s="18"/>
      <c r="AES227" s="18"/>
      <c r="AET227" s="18"/>
      <c r="AEU227" s="18"/>
      <c r="AEV227" s="18"/>
      <c r="AEW227" s="18"/>
      <c r="AEX227" s="18"/>
      <c r="AEY227" s="18"/>
      <c r="AEZ227" s="18"/>
      <c r="AFA227" s="18"/>
      <c r="AFB227" s="18"/>
      <c r="AFC227" s="18"/>
      <c r="AFD227" s="18"/>
      <c r="AFE227" s="18"/>
      <c r="AFF227" s="18"/>
      <c r="AFG227" s="18"/>
      <c r="AFH227" s="18"/>
      <c r="AFI227" s="18"/>
      <c r="AFJ227" s="18"/>
      <c r="AFK227" s="18"/>
      <c r="AFL227" s="18"/>
      <c r="AFM227" s="18"/>
      <c r="AFN227" s="18"/>
      <c r="AFO227" s="18"/>
      <c r="AFP227" s="18"/>
      <c r="AFQ227" s="18"/>
      <c r="AFR227" s="18"/>
      <c r="AFS227" s="18"/>
      <c r="AFT227" s="18"/>
      <c r="AFU227" s="18"/>
      <c r="AFV227" s="18"/>
      <c r="AFW227" s="18"/>
      <c r="AFX227" s="18"/>
      <c r="AFY227" s="18"/>
      <c r="AFZ227" s="18"/>
      <c r="AGA227" s="18"/>
      <c r="AGB227" s="18"/>
      <c r="AGC227" s="18"/>
      <c r="AGD227" s="18"/>
      <c r="AGE227" s="18"/>
      <c r="AGF227" s="18"/>
      <c r="AGG227" s="18"/>
      <c r="AGH227" s="18"/>
      <c r="AGI227" s="18"/>
      <c r="AGJ227" s="18"/>
      <c r="AGK227" s="18"/>
      <c r="AGL227" s="18"/>
      <c r="AGM227" s="18"/>
      <c r="AGN227" s="18"/>
      <c r="AGO227" s="18"/>
      <c r="AGP227" s="18"/>
      <c r="AGQ227" s="18"/>
      <c r="AGR227" s="18"/>
      <c r="AGS227" s="18"/>
      <c r="AGT227" s="18"/>
      <c r="AGU227" s="18"/>
      <c r="AGV227" s="18"/>
      <c r="AGW227" s="18"/>
      <c r="AGX227" s="18"/>
      <c r="AGY227" s="18"/>
      <c r="AGZ227" s="18"/>
      <c r="AHA227" s="18"/>
      <c r="AHB227" s="18"/>
      <c r="AHC227" s="18"/>
      <c r="AHD227" s="18"/>
      <c r="AHE227" s="18"/>
      <c r="AHF227" s="18"/>
      <c r="AHG227" s="18"/>
      <c r="AHH227" s="18"/>
      <c r="AHI227" s="18"/>
      <c r="AHJ227" s="18"/>
      <c r="AHK227" s="18"/>
      <c r="AHL227" s="18"/>
      <c r="AHM227" s="18"/>
      <c r="AHN227" s="18"/>
      <c r="AHO227" s="18"/>
      <c r="AHP227" s="18"/>
      <c r="AHQ227" s="18"/>
      <c r="AHR227" s="18"/>
      <c r="AHS227" s="18"/>
      <c r="AHT227" s="18"/>
      <c r="AHU227" s="18"/>
      <c r="AHV227" s="18"/>
      <c r="AHW227" s="18"/>
      <c r="AHX227" s="18"/>
      <c r="AHY227" s="18"/>
      <c r="AHZ227" s="18"/>
      <c r="AIA227" s="18"/>
      <c r="AIB227" s="18"/>
      <c r="AIC227" s="18"/>
      <c r="AID227" s="18"/>
      <c r="AIE227" s="18"/>
      <c r="AIF227" s="18"/>
      <c r="AIG227" s="18"/>
      <c r="AIH227" s="18"/>
      <c r="AII227" s="18"/>
      <c r="AIJ227" s="18"/>
      <c r="AIK227" s="18"/>
      <c r="AIL227" s="18"/>
      <c r="AIM227" s="18"/>
      <c r="AIN227" s="18"/>
      <c r="AIO227" s="18"/>
      <c r="AIP227" s="18"/>
      <c r="AIQ227" s="18"/>
      <c r="AIR227" s="18"/>
      <c r="AIS227" s="18"/>
      <c r="AIT227" s="18"/>
      <c r="AIU227" s="18"/>
      <c r="AIV227" s="18"/>
      <c r="AIW227" s="18"/>
      <c r="AIX227" s="18"/>
      <c r="AIY227" s="18"/>
      <c r="AIZ227" s="18"/>
      <c r="AJA227" s="18"/>
      <c r="AJB227" s="18"/>
      <c r="AJC227" s="18"/>
      <c r="AJD227" s="18"/>
      <c r="AJE227" s="18"/>
      <c r="AJF227" s="18"/>
      <c r="AJG227" s="18"/>
      <c r="AJH227" s="18"/>
      <c r="AJI227" s="18"/>
      <c r="AJJ227" s="18"/>
      <c r="AJK227" s="18"/>
      <c r="AJL227" s="18"/>
      <c r="AJM227" s="18"/>
      <c r="AJN227" s="18"/>
      <c r="AJO227" s="18"/>
      <c r="AJP227" s="18"/>
      <c r="AJQ227" s="18"/>
      <c r="AJR227" s="18"/>
      <c r="AJS227" s="18"/>
      <c r="AJT227" s="18"/>
      <c r="AJU227" s="18"/>
      <c r="AJV227" s="18"/>
      <c r="AJW227" s="18"/>
      <c r="AJX227" s="18"/>
      <c r="AJY227" s="18"/>
      <c r="AJZ227" s="18"/>
      <c r="AKA227" s="18"/>
      <c r="AKB227" s="18"/>
      <c r="AKC227" s="18"/>
      <c r="AKD227" s="18"/>
      <c r="AKE227" s="18"/>
      <c r="AKF227" s="18"/>
      <c r="AKG227" s="18"/>
      <c r="AKH227" s="18"/>
      <c r="AKI227" s="18"/>
      <c r="AKJ227" s="18"/>
      <c r="AKK227" s="18"/>
      <c r="AKL227" s="18"/>
      <c r="AKM227" s="18"/>
      <c r="AKN227" s="18"/>
      <c r="AKO227" s="18"/>
      <c r="AKP227" s="18"/>
      <c r="AKQ227" s="18"/>
      <c r="AKR227" s="18"/>
      <c r="AKS227" s="18"/>
      <c r="AKT227" s="18"/>
      <c r="AKU227" s="18"/>
      <c r="AKV227" s="18"/>
      <c r="AKW227" s="18"/>
      <c r="AKX227" s="18"/>
      <c r="AKY227" s="18"/>
      <c r="AKZ227" s="18"/>
      <c r="ALA227" s="18"/>
      <c r="ALB227" s="18"/>
      <c r="ALC227" s="18"/>
      <c r="ALD227" s="18"/>
      <c r="ALE227" s="18"/>
      <c r="ALF227" s="18"/>
      <c r="ALG227" s="18"/>
      <c r="ALH227" s="18"/>
      <c r="ALI227" s="18"/>
      <c r="ALJ227" s="18"/>
      <c r="ALK227" s="18"/>
      <c r="ALL227" s="18"/>
      <c r="ALM227" s="18"/>
      <c r="ALN227" s="18"/>
      <c r="ALO227" s="18"/>
      <c r="ALP227" s="18"/>
      <c r="ALQ227" s="18"/>
      <c r="ALR227" s="18"/>
      <c r="ALS227" s="18"/>
      <c r="ALT227" s="18"/>
      <c r="ALU227" s="18"/>
      <c r="ALV227" s="18"/>
      <c r="ALW227" s="18"/>
      <c r="ALX227" s="18"/>
      <c r="ALY227" s="18"/>
      <c r="ALZ227" s="18"/>
      <c r="AMA227" s="18"/>
      <c r="AMB227" s="18"/>
      <c r="AMC227" s="18"/>
      <c r="AMD227" s="18"/>
      <c r="AME227" s="18"/>
      <c r="AMF227" s="18"/>
      <c r="AMG227" s="18"/>
      <c r="AMH227" s="18"/>
      <c r="AMI227" s="18"/>
      <c r="AMJ227" s="18"/>
      <c r="AMK227" s="18"/>
      <c r="AML227" s="18"/>
      <c r="AMM227" s="18"/>
      <c r="AMN227" s="18"/>
      <c r="AMO227" s="18"/>
      <c r="AMP227" s="18"/>
      <c r="AMQ227" s="18"/>
      <c r="AMR227" s="18"/>
      <c r="AMS227" s="18"/>
      <c r="AMT227" s="18"/>
      <c r="AMU227" s="18"/>
      <c r="AMV227" s="18"/>
      <c r="AMW227" s="18"/>
      <c r="AMX227" s="18"/>
      <c r="AMY227" s="18"/>
      <c r="AMZ227" s="18"/>
      <c r="ANA227" s="18"/>
      <c r="ANB227" s="18"/>
      <c r="ANC227" s="18"/>
      <c r="AND227" s="18"/>
      <c r="ANE227" s="18"/>
      <c r="ANF227" s="18"/>
      <c r="ANG227" s="18"/>
      <c r="ANH227" s="18"/>
      <c r="ANI227" s="18"/>
      <c r="ANJ227" s="18"/>
      <c r="ANK227" s="18"/>
      <c r="ANL227" s="18"/>
      <c r="ANM227" s="18"/>
      <c r="ANN227" s="18"/>
      <c r="ANO227" s="18"/>
      <c r="ANP227" s="18"/>
      <c r="ANQ227" s="18"/>
      <c r="ANR227" s="18"/>
      <c r="ANS227" s="18"/>
      <c r="ANT227" s="18"/>
      <c r="ANU227" s="18"/>
      <c r="ANV227" s="18"/>
      <c r="ANW227" s="18"/>
      <c r="ANX227" s="18"/>
      <c r="ANY227" s="18"/>
      <c r="ANZ227" s="18"/>
      <c r="AOA227" s="18"/>
      <c r="AOB227" s="18"/>
      <c r="AOC227" s="18"/>
      <c r="AOD227" s="18"/>
      <c r="AOE227" s="18"/>
      <c r="AOF227" s="18"/>
      <c r="AOG227" s="18"/>
      <c r="AOH227" s="18"/>
      <c r="AOI227" s="18"/>
      <c r="AOJ227" s="18"/>
      <c r="AOK227" s="18"/>
      <c r="AOL227" s="18"/>
      <c r="AOM227" s="18"/>
      <c r="AON227" s="18"/>
      <c r="AOO227" s="18"/>
      <c r="AOP227" s="18"/>
      <c r="AOQ227" s="18"/>
      <c r="AOR227" s="18"/>
      <c r="AOS227" s="18"/>
      <c r="AOT227" s="18"/>
      <c r="AOU227" s="18"/>
      <c r="AOV227" s="18"/>
      <c r="AOW227" s="18"/>
      <c r="AOX227" s="18"/>
      <c r="AOY227" s="18"/>
      <c r="AOZ227" s="18"/>
      <c r="APA227" s="18"/>
      <c r="APB227" s="18"/>
      <c r="APC227" s="18"/>
      <c r="APD227" s="18"/>
      <c r="APE227" s="18"/>
      <c r="APF227" s="18"/>
      <c r="APG227" s="18"/>
      <c r="APH227" s="18"/>
      <c r="API227" s="18"/>
      <c r="APJ227" s="18"/>
      <c r="APK227" s="18"/>
      <c r="APL227" s="18"/>
      <c r="APM227" s="18"/>
      <c r="APN227" s="18"/>
      <c r="APO227" s="18"/>
      <c r="APP227" s="18"/>
      <c r="APQ227" s="18"/>
      <c r="APR227" s="18"/>
      <c r="APS227" s="18"/>
      <c r="APT227" s="18"/>
      <c r="APU227" s="18"/>
      <c r="APV227" s="18"/>
      <c r="APW227" s="18"/>
      <c r="APX227" s="18"/>
      <c r="APY227" s="18"/>
      <c r="APZ227" s="18"/>
      <c r="AQA227" s="18"/>
      <c r="AQB227" s="18"/>
      <c r="AQC227" s="18"/>
      <c r="AQD227" s="18"/>
      <c r="AQE227" s="18"/>
      <c r="AQF227" s="18"/>
      <c r="AQG227" s="18"/>
      <c r="AQH227" s="18"/>
      <c r="AQI227" s="18"/>
      <c r="AQJ227" s="18"/>
      <c r="AQK227" s="18"/>
      <c r="AQL227" s="18"/>
      <c r="AQM227" s="18"/>
      <c r="AQN227" s="18"/>
      <c r="AQO227" s="18"/>
      <c r="AQP227" s="18"/>
      <c r="AQQ227" s="18"/>
      <c r="AQR227" s="18"/>
      <c r="AQS227" s="18"/>
      <c r="AQT227" s="18"/>
      <c r="AQU227" s="18"/>
      <c r="AQV227" s="18"/>
      <c r="AQW227" s="18"/>
      <c r="AQX227" s="18"/>
      <c r="AQY227" s="18"/>
      <c r="AQZ227" s="18"/>
      <c r="ARA227" s="18"/>
      <c r="ARB227" s="18"/>
      <c r="ARC227" s="18"/>
      <c r="ARD227" s="18"/>
      <c r="ARE227" s="18"/>
      <c r="ARF227" s="18"/>
      <c r="ARG227" s="18"/>
      <c r="ARH227" s="18"/>
      <c r="ARI227" s="18"/>
      <c r="ARJ227" s="18"/>
      <c r="ARK227" s="18"/>
      <c r="ARL227" s="18"/>
      <c r="ARM227" s="18"/>
      <c r="ARN227" s="18"/>
      <c r="ARO227" s="18"/>
      <c r="ARP227" s="18"/>
      <c r="ARQ227" s="18"/>
      <c r="ARR227" s="18"/>
      <c r="ARS227" s="18"/>
      <c r="ART227" s="18"/>
      <c r="ARU227" s="18"/>
      <c r="ARV227" s="18"/>
      <c r="ARW227" s="18"/>
      <c r="ARX227" s="18"/>
      <c r="ARY227" s="18"/>
      <c r="ARZ227" s="18"/>
      <c r="ASA227" s="18"/>
      <c r="ASB227" s="18"/>
      <c r="ASC227" s="18"/>
      <c r="ASD227" s="18"/>
      <c r="ASE227" s="18"/>
      <c r="ASF227" s="18"/>
      <c r="ASG227" s="18"/>
      <c r="ASH227" s="18"/>
      <c r="ASI227" s="18"/>
      <c r="ASJ227" s="18"/>
      <c r="ASK227" s="18"/>
      <c r="ASL227" s="18"/>
      <c r="ASM227" s="18"/>
      <c r="ASN227" s="18"/>
      <c r="ASO227" s="18"/>
      <c r="ASP227" s="18"/>
      <c r="ASQ227" s="18"/>
      <c r="ASR227" s="18"/>
      <c r="ASS227" s="18"/>
      <c r="AST227" s="18"/>
      <c r="ASU227" s="18"/>
      <c r="ASV227" s="18"/>
      <c r="ASW227" s="18"/>
      <c r="ASX227" s="18"/>
      <c r="ASY227" s="18"/>
      <c r="ASZ227" s="18"/>
      <c r="ATA227" s="18"/>
      <c r="ATB227" s="18"/>
      <c r="ATC227" s="18"/>
      <c r="ATD227" s="18"/>
      <c r="ATE227" s="18"/>
      <c r="ATF227" s="18"/>
      <c r="ATG227" s="18"/>
      <c r="ATH227" s="18"/>
      <c r="ATI227" s="18"/>
      <c r="ATJ227" s="18"/>
      <c r="ATK227" s="18"/>
      <c r="ATL227" s="18"/>
      <c r="ATM227" s="18"/>
      <c r="ATN227" s="18"/>
      <c r="ATO227" s="18"/>
      <c r="ATP227" s="18"/>
      <c r="ATQ227" s="18"/>
      <c r="ATR227" s="18"/>
      <c r="ATS227" s="18"/>
      <c r="ATT227" s="18"/>
      <c r="ATU227" s="18"/>
      <c r="ATV227" s="18"/>
      <c r="ATW227" s="18"/>
      <c r="ATX227" s="18"/>
      <c r="ATY227" s="18"/>
      <c r="ATZ227" s="18"/>
      <c r="AUA227" s="18"/>
      <c r="AUB227" s="18"/>
      <c r="AUC227" s="18"/>
      <c r="AUD227" s="18"/>
      <c r="AUE227" s="18"/>
      <c r="AUF227" s="18"/>
      <c r="AUG227" s="18"/>
      <c r="AUH227" s="18"/>
      <c r="AUI227" s="18"/>
      <c r="AUJ227" s="18"/>
      <c r="AUK227" s="18"/>
      <c r="AUL227" s="18"/>
      <c r="AUM227" s="18"/>
      <c r="AUN227" s="18"/>
      <c r="AUO227" s="18"/>
      <c r="AUP227" s="18"/>
      <c r="AUQ227" s="18"/>
      <c r="AUR227" s="18"/>
      <c r="AUS227" s="18"/>
      <c r="AUT227" s="18"/>
      <c r="AUU227" s="18"/>
      <c r="AUV227" s="18"/>
      <c r="AUW227" s="18"/>
      <c r="AUX227" s="18"/>
      <c r="AUY227" s="18"/>
      <c r="AUZ227" s="18"/>
      <c r="AVA227" s="18"/>
      <c r="AVB227" s="18"/>
      <c r="AVC227" s="18"/>
      <c r="AVD227" s="18"/>
      <c r="AVE227" s="18"/>
      <c r="AVF227" s="18"/>
      <c r="AVG227" s="18"/>
      <c r="AVH227" s="18"/>
      <c r="AVI227" s="18"/>
      <c r="AVJ227" s="18"/>
      <c r="AVK227" s="18"/>
      <c r="AVL227" s="18"/>
      <c r="AVM227" s="18"/>
      <c r="AVN227" s="18"/>
      <c r="AVO227" s="18"/>
      <c r="AVP227" s="18"/>
      <c r="AVQ227" s="18"/>
      <c r="AVR227" s="18"/>
      <c r="AVS227" s="18"/>
      <c r="AVT227" s="18"/>
      <c r="AVU227" s="18"/>
      <c r="AVV227" s="18"/>
      <c r="AVW227" s="18"/>
      <c r="AVX227" s="18"/>
      <c r="AVY227" s="18"/>
      <c r="AVZ227" s="18"/>
      <c r="AWA227" s="18"/>
      <c r="AWB227" s="18"/>
      <c r="AWC227" s="18"/>
      <c r="AWD227" s="18"/>
      <c r="AWE227" s="18"/>
      <c r="AWF227" s="18"/>
      <c r="AWG227" s="18"/>
      <c r="AWH227" s="18"/>
      <c r="AWI227" s="18"/>
      <c r="AWJ227" s="18"/>
      <c r="AWK227" s="18"/>
      <c r="AWL227" s="18"/>
      <c r="AWM227" s="18"/>
      <c r="AWN227" s="18"/>
      <c r="AWO227" s="18"/>
      <c r="AWP227" s="18"/>
      <c r="AWQ227" s="18"/>
      <c r="AWR227" s="18"/>
      <c r="AWS227" s="18"/>
      <c r="AWT227" s="18"/>
      <c r="AWU227" s="18"/>
      <c r="AWV227" s="18"/>
      <c r="AWW227" s="18"/>
      <c r="AWX227" s="18"/>
      <c r="AWY227" s="18"/>
      <c r="AWZ227" s="18"/>
      <c r="AXA227" s="18"/>
      <c r="AXB227" s="18"/>
      <c r="AXC227" s="18"/>
      <c r="AXD227" s="18"/>
      <c r="AXE227" s="18"/>
      <c r="AXF227" s="18"/>
      <c r="AXG227" s="18"/>
      <c r="AXH227" s="18"/>
      <c r="AXI227" s="18"/>
      <c r="AXJ227" s="18"/>
      <c r="AXK227" s="18"/>
      <c r="AXL227" s="18"/>
      <c r="AXM227" s="18"/>
      <c r="AXN227" s="18"/>
      <c r="AXO227" s="18"/>
      <c r="AXP227" s="18"/>
      <c r="AXQ227" s="18"/>
      <c r="AXR227" s="18"/>
      <c r="AXS227" s="18"/>
      <c r="AXT227" s="18"/>
      <c r="AXU227" s="18"/>
      <c r="AXV227" s="18"/>
      <c r="AXW227" s="18"/>
      <c r="AXX227" s="18"/>
      <c r="AXY227" s="18"/>
      <c r="AXZ227" s="18"/>
      <c r="AYA227" s="18"/>
      <c r="AYB227" s="18"/>
      <c r="AYC227" s="18"/>
      <c r="AYD227" s="18"/>
      <c r="AYE227" s="18"/>
      <c r="AYF227" s="18"/>
      <c r="AYG227" s="18"/>
      <c r="AYH227" s="18"/>
      <c r="AYI227" s="18"/>
      <c r="AYJ227" s="18"/>
      <c r="AYK227" s="18"/>
      <c r="AYL227" s="18"/>
      <c r="AYM227" s="18"/>
      <c r="AYN227" s="18"/>
      <c r="AYO227" s="18"/>
      <c r="AYP227" s="18"/>
      <c r="AYQ227" s="18"/>
      <c r="AYR227" s="18"/>
      <c r="AYS227" s="18"/>
      <c r="AYT227" s="18"/>
      <c r="AYU227" s="18"/>
      <c r="AYV227" s="18"/>
      <c r="AYW227" s="18"/>
      <c r="AYX227" s="18"/>
      <c r="AYY227" s="18"/>
      <c r="AYZ227" s="18"/>
      <c r="AZA227" s="18"/>
      <c r="AZB227" s="18"/>
      <c r="AZC227" s="18"/>
      <c r="AZD227" s="18"/>
      <c r="AZE227" s="18"/>
      <c r="AZF227" s="18"/>
      <c r="AZG227" s="18"/>
      <c r="AZH227" s="18"/>
      <c r="AZI227" s="18"/>
      <c r="AZJ227" s="18"/>
      <c r="AZK227" s="18"/>
      <c r="AZL227" s="18"/>
      <c r="AZM227" s="18"/>
      <c r="AZN227" s="18"/>
      <c r="AZO227" s="18"/>
      <c r="AZP227" s="18"/>
      <c r="AZQ227" s="18"/>
      <c r="AZR227" s="18"/>
      <c r="AZS227" s="18"/>
      <c r="AZT227" s="18"/>
      <c r="AZU227" s="18"/>
      <c r="AZV227" s="18"/>
      <c r="AZW227" s="18"/>
      <c r="AZX227" s="18"/>
      <c r="AZY227" s="18"/>
      <c r="AZZ227" s="18"/>
      <c r="BAA227" s="18"/>
      <c r="BAB227" s="18"/>
      <c r="BAC227" s="18"/>
      <c r="BAD227" s="18"/>
      <c r="BAE227" s="18"/>
      <c r="BAF227" s="18"/>
      <c r="BAG227" s="18"/>
      <c r="BAH227" s="18"/>
      <c r="BAI227" s="18"/>
      <c r="BAJ227" s="18"/>
      <c r="BAK227" s="18"/>
      <c r="BAL227" s="18"/>
      <c r="BAM227" s="18"/>
      <c r="BAN227" s="18"/>
      <c r="BAO227" s="18"/>
      <c r="BAP227" s="18"/>
      <c r="BAQ227" s="18"/>
      <c r="BAR227" s="18"/>
      <c r="BAS227" s="18"/>
      <c r="BAT227" s="18"/>
      <c r="BAU227" s="18"/>
      <c r="BAV227" s="18"/>
      <c r="BAW227" s="18"/>
      <c r="BAX227" s="18"/>
      <c r="BAY227" s="18"/>
      <c r="BAZ227" s="18"/>
      <c r="BBA227" s="18"/>
      <c r="BBB227" s="18"/>
      <c r="BBC227" s="18"/>
      <c r="BBD227" s="18"/>
      <c r="BBE227" s="18"/>
      <c r="BBF227" s="18"/>
      <c r="BBG227" s="18"/>
      <c r="BBH227" s="18"/>
      <c r="BBI227" s="18"/>
      <c r="BBJ227" s="18"/>
      <c r="BBK227" s="18"/>
      <c r="BBL227" s="18"/>
      <c r="BBM227" s="18"/>
      <c r="BBN227" s="18"/>
      <c r="BBO227" s="18"/>
      <c r="BBP227" s="18"/>
      <c r="BBQ227" s="18"/>
      <c r="BBR227" s="18"/>
      <c r="BBS227" s="18"/>
      <c r="BBT227" s="18"/>
      <c r="BBU227" s="18"/>
      <c r="BBV227" s="18"/>
      <c r="BBW227" s="18"/>
      <c r="BBX227" s="18"/>
      <c r="BBY227" s="18"/>
      <c r="BBZ227" s="18"/>
      <c r="BCA227" s="18"/>
      <c r="BCB227" s="18"/>
      <c r="BCC227" s="18"/>
      <c r="BCD227" s="18"/>
      <c r="BCE227" s="18"/>
      <c r="BCF227" s="18"/>
      <c r="BCG227" s="18"/>
      <c r="BCH227" s="18"/>
      <c r="BCI227" s="18"/>
      <c r="BCJ227" s="18"/>
      <c r="BCK227" s="18"/>
      <c r="BCL227" s="18"/>
      <c r="BCM227" s="18"/>
      <c r="BCN227" s="18"/>
      <c r="BCO227" s="18"/>
      <c r="BCP227" s="18"/>
      <c r="BCQ227" s="18"/>
      <c r="BCR227" s="18"/>
      <c r="BCS227" s="18"/>
      <c r="BCT227" s="18"/>
      <c r="BCU227" s="18"/>
      <c r="BCV227" s="18"/>
      <c r="BCW227" s="18"/>
      <c r="BCX227" s="18"/>
      <c r="BCY227" s="18"/>
      <c r="BCZ227" s="18"/>
      <c r="BDA227" s="18"/>
      <c r="BDB227" s="18"/>
      <c r="BDC227" s="18"/>
      <c r="BDD227" s="18"/>
      <c r="BDE227" s="18"/>
      <c r="BDF227" s="18"/>
      <c r="BDG227" s="18"/>
      <c r="BDH227" s="18"/>
      <c r="BDI227" s="18"/>
      <c r="BDJ227" s="18"/>
      <c r="BDK227" s="18"/>
      <c r="BDL227" s="18"/>
      <c r="BDM227" s="18"/>
      <c r="BDN227" s="18"/>
      <c r="BDO227" s="18"/>
      <c r="BDP227" s="18"/>
      <c r="BDQ227" s="18"/>
      <c r="BDR227" s="18"/>
      <c r="BDS227" s="18"/>
      <c r="BDT227" s="18"/>
      <c r="BDU227" s="18"/>
      <c r="BDV227" s="18"/>
      <c r="BDW227" s="18"/>
      <c r="BDX227" s="18"/>
      <c r="BDY227" s="18"/>
      <c r="BDZ227" s="18"/>
      <c r="BEA227" s="18"/>
      <c r="BEB227" s="18"/>
      <c r="BEC227" s="18"/>
      <c r="BED227" s="18"/>
      <c r="BEE227" s="18"/>
      <c r="BEF227" s="18"/>
      <c r="BEG227" s="18"/>
      <c r="BEH227" s="18"/>
      <c r="BEI227" s="18"/>
      <c r="BEJ227" s="18"/>
      <c r="BEK227" s="18"/>
      <c r="BEL227" s="18"/>
      <c r="BEM227" s="18"/>
      <c r="BEN227" s="18"/>
      <c r="BEO227" s="18"/>
      <c r="BEP227" s="18"/>
      <c r="BEQ227" s="18"/>
      <c r="BER227" s="18"/>
      <c r="BES227" s="18"/>
      <c r="BET227" s="18"/>
      <c r="BEU227" s="18"/>
      <c r="BEV227" s="18"/>
      <c r="BEW227" s="18"/>
      <c r="BEX227" s="18"/>
      <c r="BEY227" s="18"/>
      <c r="BEZ227" s="18"/>
      <c r="BFA227" s="18"/>
      <c r="BFB227" s="18"/>
      <c r="BFC227" s="18"/>
      <c r="BFD227" s="18"/>
      <c r="BFE227" s="18"/>
      <c r="BFF227" s="18"/>
      <c r="BFG227" s="18"/>
      <c r="BFH227" s="18"/>
      <c r="BFI227" s="18"/>
      <c r="BFJ227" s="18"/>
      <c r="BFK227" s="18"/>
      <c r="BFL227" s="18"/>
      <c r="BFM227" s="18"/>
      <c r="BFN227" s="18"/>
      <c r="BFO227" s="18"/>
      <c r="BFP227" s="18"/>
      <c r="BFQ227" s="18"/>
      <c r="BFR227" s="18"/>
      <c r="BFS227" s="18"/>
      <c r="BFT227" s="18"/>
      <c r="BFU227" s="18"/>
      <c r="BFV227" s="18"/>
      <c r="BFW227" s="18"/>
      <c r="BFX227" s="18"/>
      <c r="BFY227" s="18"/>
      <c r="BFZ227" s="18"/>
      <c r="BGA227" s="18"/>
      <c r="BGB227" s="18"/>
      <c r="BGC227" s="18"/>
      <c r="BGD227" s="18"/>
      <c r="BGE227" s="18"/>
      <c r="BGF227" s="18"/>
      <c r="BGG227" s="18"/>
      <c r="BGH227" s="18"/>
      <c r="BGI227" s="18"/>
      <c r="BGJ227" s="18"/>
      <c r="BGK227" s="18"/>
      <c r="BGL227" s="18"/>
      <c r="BGM227" s="18"/>
      <c r="BGN227" s="18"/>
      <c r="BGO227" s="18"/>
      <c r="BGP227" s="18"/>
      <c r="BGQ227" s="18"/>
      <c r="BGR227" s="18"/>
      <c r="BGS227" s="18"/>
      <c r="BGT227" s="18"/>
      <c r="BGU227" s="18"/>
      <c r="BGV227" s="18"/>
      <c r="BGW227" s="18"/>
      <c r="BGX227" s="18"/>
      <c r="BGY227" s="18"/>
      <c r="BGZ227" s="18"/>
      <c r="BHA227" s="18"/>
      <c r="BHB227" s="18"/>
      <c r="BHC227" s="18"/>
      <c r="BHD227" s="18"/>
      <c r="BHE227" s="18"/>
      <c r="BHF227" s="18"/>
      <c r="BHG227" s="18"/>
      <c r="BHH227" s="18"/>
      <c r="BHI227" s="18"/>
      <c r="BHJ227" s="18"/>
      <c r="BHK227" s="18"/>
      <c r="BHL227" s="18"/>
      <c r="BHM227" s="18"/>
      <c r="BHN227" s="18"/>
      <c r="BHO227" s="18"/>
      <c r="BHP227" s="18"/>
      <c r="BHQ227" s="18"/>
      <c r="BHR227" s="18"/>
      <c r="BHS227" s="18"/>
      <c r="BHT227" s="18"/>
      <c r="BHU227" s="18"/>
      <c r="BHV227" s="18"/>
      <c r="BHW227" s="18"/>
      <c r="BHX227" s="18"/>
      <c r="BHY227" s="18"/>
      <c r="BHZ227" s="18"/>
      <c r="BIA227" s="18"/>
      <c r="BIB227" s="18"/>
      <c r="BIC227" s="18"/>
      <c r="BID227" s="18"/>
      <c r="BIE227" s="18"/>
      <c r="BIF227" s="18"/>
      <c r="BIG227" s="18"/>
      <c r="BIH227" s="18"/>
      <c r="BII227" s="18"/>
      <c r="BIJ227" s="18"/>
      <c r="BIK227" s="18"/>
      <c r="BIL227" s="18"/>
      <c r="BIM227" s="18"/>
      <c r="BIN227" s="18"/>
      <c r="BIO227" s="18"/>
      <c r="BIP227" s="18"/>
      <c r="BIQ227" s="18"/>
      <c r="BIR227" s="18"/>
      <c r="BIS227" s="18"/>
      <c r="BIT227" s="18"/>
      <c r="BIU227" s="18"/>
      <c r="BIV227" s="18"/>
      <c r="BIW227" s="18"/>
      <c r="BIX227" s="18"/>
      <c r="BIY227" s="18"/>
      <c r="BIZ227" s="18"/>
      <c r="BJA227" s="18"/>
      <c r="BJB227" s="18"/>
      <c r="BJC227" s="18"/>
      <c r="BJD227" s="18"/>
      <c r="BJE227" s="18"/>
      <c r="BJF227" s="18"/>
      <c r="BJG227" s="18"/>
      <c r="BJH227" s="18"/>
      <c r="BJI227" s="18"/>
      <c r="BJJ227" s="18"/>
      <c r="BJK227" s="18"/>
      <c r="BJL227" s="18"/>
      <c r="BJM227" s="18"/>
      <c r="BJN227" s="18"/>
      <c r="BJO227" s="18"/>
      <c r="BJP227" s="18"/>
      <c r="BJQ227" s="18"/>
      <c r="BJR227" s="18"/>
      <c r="BJS227" s="18"/>
      <c r="BJT227" s="18"/>
      <c r="BJU227" s="18"/>
      <c r="BJV227" s="18"/>
      <c r="BJW227" s="18"/>
      <c r="BJX227" s="18"/>
      <c r="BJY227" s="18"/>
      <c r="BJZ227" s="18"/>
      <c r="BKA227" s="18"/>
      <c r="BKB227" s="18"/>
      <c r="BKC227" s="18"/>
      <c r="BKD227" s="18"/>
      <c r="BKE227" s="18"/>
      <c r="BKF227" s="18"/>
      <c r="BKG227" s="18"/>
      <c r="BKH227" s="18"/>
      <c r="BKI227" s="18"/>
      <c r="BKJ227" s="18"/>
      <c r="BKK227" s="18"/>
      <c r="BKL227" s="18"/>
      <c r="BKM227" s="18"/>
      <c r="BKN227" s="18"/>
      <c r="BKO227" s="18"/>
      <c r="BKP227" s="18"/>
      <c r="BKQ227" s="18"/>
      <c r="BKR227" s="18"/>
      <c r="BKS227" s="18"/>
      <c r="BKT227" s="18"/>
      <c r="BKU227" s="18"/>
      <c r="BKV227" s="18"/>
      <c r="BKW227" s="18"/>
      <c r="BKX227" s="18"/>
      <c r="BKY227" s="18"/>
      <c r="BKZ227" s="18"/>
      <c r="BLA227" s="18"/>
      <c r="BLB227" s="18"/>
      <c r="BLC227" s="18"/>
      <c r="BLD227" s="18"/>
      <c r="BLE227" s="18"/>
      <c r="BLF227" s="18"/>
      <c r="BLG227" s="18"/>
      <c r="BLH227" s="18"/>
      <c r="BLI227" s="18"/>
      <c r="BLJ227" s="18"/>
      <c r="BLK227" s="18"/>
      <c r="BLL227" s="18"/>
      <c r="BLM227" s="18"/>
      <c r="BLN227" s="18"/>
      <c r="BLO227" s="18"/>
      <c r="BLP227" s="18"/>
      <c r="BLQ227" s="18"/>
      <c r="BLR227" s="18"/>
      <c r="BLS227" s="18"/>
      <c r="BLT227" s="18"/>
      <c r="BLU227" s="18"/>
      <c r="BLV227" s="18"/>
      <c r="BLW227" s="18"/>
      <c r="BLX227" s="18"/>
      <c r="BLY227" s="18"/>
      <c r="BLZ227" s="18"/>
      <c r="BMA227" s="18"/>
      <c r="BMB227" s="18"/>
      <c r="BMC227" s="18"/>
      <c r="BMD227" s="18"/>
      <c r="BME227" s="18"/>
      <c r="BMF227" s="18"/>
      <c r="BMG227" s="18"/>
      <c r="BMH227" s="18"/>
      <c r="BMI227" s="18"/>
      <c r="BMJ227" s="18"/>
      <c r="BMK227" s="18"/>
      <c r="BML227" s="18"/>
      <c r="BMM227" s="18"/>
      <c r="BMN227" s="18"/>
      <c r="BMO227" s="18"/>
      <c r="BMP227" s="18"/>
      <c r="BMQ227" s="18"/>
      <c r="BMR227" s="18"/>
      <c r="BMS227" s="18"/>
      <c r="BMT227" s="18"/>
      <c r="BMU227" s="18"/>
      <c r="BMV227" s="18"/>
      <c r="BMW227" s="18"/>
      <c r="BMX227" s="18"/>
      <c r="BMY227" s="18"/>
      <c r="BMZ227" s="18"/>
      <c r="BNA227" s="18"/>
      <c r="BNB227" s="18"/>
      <c r="BNC227" s="18"/>
      <c r="BND227" s="18"/>
      <c r="BNE227" s="18"/>
      <c r="BNF227" s="18"/>
      <c r="BNG227" s="18"/>
      <c r="BNH227" s="18"/>
      <c r="BNI227" s="18"/>
      <c r="BNJ227" s="18"/>
      <c r="BNK227" s="18"/>
      <c r="BNL227" s="18"/>
      <c r="BNM227" s="18"/>
      <c r="BNN227" s="18"/>
      <c r="BNO227" s="18"/>
      <c r="BNP227" s="18"/>
      <c r="BNQ227" s="18"/>
      <c r="BNR227" s="18"/>
      <c r="BNS227" s="18"/>
      <c r="BNT227" s="18"/>
      <c r="BNU227" s="18"/>
      <c r="BNV227" s="18"/>
      <c r="BNW227" s="18"/>
      <c r="BNX227" s="18"/>
      <c r="BNY227" s="18"/>
      <c r="BNZ227" s="18"/>
      <c r="BOA227" s="18"/>
      <c r="BOB227" s="18"/>
      <c r="BOC227" s="18"/>
      <c r="BOD227" s="18"/>
      <c r="BOE227" s="18"/>
      <c r="BOF227" s="18"/>
      <c r="BOG227" s="18"/>
      <c r="BOH227" s="18"/>
      <c r="BOI227" s="18"/>
      <c r="BOJ227" s="18"/>
      <c r="BOK227" s="18"/>
      <c r="BOL227" s="18"/>
      <c r="BOM227" s="18"/>
      <c r="BON227" s="18"/>
      <c r="BOO227" s="18"/>
      <c r="BOP227" s="18"/>
      <c r="BOQ227" s="18"/>
      <c r="BOR227" s="18"/>
      <c r="BOS227" s="18"/>
      <c r="BOT227" s="18"/>
      <c r="BOU227" s="18"/>
      <c r="BOV227" s="18"/>
      <c r="BOW227" s="18"/>
      <c r="BOX227" s="18"/>
      <c r="BOY227" s="18"/>
      <c r="BOZ227" s="18"/>
      <c r="BPA227" s="18"/>
      <c r="BPB227" s="18"/>
      <c r="BPC227" s="18"/>
      <c r="BPD227" s="18"/>
      <c r="BPE227" s="18"/>
      <c r="BPF227" s="18"/>
      <c r="BPG227" s="18"/>
      <c r="BPH227" s="18"/>
      <c r="BPI227" s="18"/>
      <c r="BPJ227" s="18"/>
      <c r="BPK227" s="18"/>
      <c r="BPL227" s="18"/>
      <c r="BPM227" s="18"/>
      <c r="BPN227" s="18"/>
      <c r="BPO227" s="18"/>
      <c r="BPP227" s="18"/>
      <c r="BPQ227" s="18"/>
      <c r="BPR227" s="18"/>
      <c r="BPS227" s="18"/>
      <c r="BPT227" s="18"/>
      <c r="BPU227" s="18"/>
      <c r="BPV227" s="18"/>
      <c r="BPW227" s="18"/>
      <c r="BPX227" s="18"/>
      <c r="BPY227" s="18"/>
      <c r="BPZ227" s="18"/>
      <c r="BQA227" s="18"/>
      <c r="BQB227" s="18"/>
      <c r="BQC227" s="18"/>
      <c r="BQD227" s="18"/>
      <c r="BQE227" s="18"/>
      <c r="BQF227" s="18"/>
      <c r="BQG227" s="18"/>
      <c r="BQH227" s="18"/>
      <c r="BQI227" s="18"/>
      <c r="BQJ227" s="18"/>
      <c r="BQK227" s="18"/>
      <c r="BQL227" s="18"/>
      <c r="BQM227" s="18"/>
      <c r="BQN227" s="18"/>
      <c r="BQO227" s="18"/>
      <c r="BQP227" s="18"/>
      <c r="BQQ227" s="18"/>
      <c r="BQR227" s="18"/>
      <c r="BQS227" s="18"/>
      <c r="BQT227" s="18"/>
      <c r="BQU227" s="18"/>
      <c r="BQV227" s="18"/>
      <c r="BQW227" s="18"/>
      <c r="BQX227" s="18"/>
      <c r="BQY227" s="18"/>
      <c r="BQZ227" s="18"/>
      <c r="BRA227" s="18"/>
      <c r="BRB227" s="18"/>
      <c r="BRC227" s="18"/>
      <c r="BRD227" s="18"/>
      <c r="BRE227" s="18"/>
      <c r="BRF227" s="18"/>
      <c r="BRG227" s="18"/>
      <c r="BRH227" s="18"/>
      <c r="BRI227" s="18"/>
      <c r="BRJ227" s="18"/>
      <c r="BRK227" s="18"/>
      <c r="BRL227" s="18"/>
      <c r="BRM227" s="18"/>
      <c r="BRN227" s="18"/>
      <c r="BRO227" s="18"/>
      <c r="BRP227" s="18"/>
      <c r="BRQ227" s="18"/>
      <c r="BRR227" s="18"/>
      <c r="BRS227" s="18"/>
      <c r="BRT227" s="18"/>
      <c r="BRU227" s="18"/>
      <c r="BRV227" s="18"/>
      <c r="BRW227" s="18"/>
      <c r="BRX227" s="18"/>
      <c r="BRY227" s="18"/>
      <c r="BRZ227" s="18"/>
      <c r="BSA227" s="18"/>
      <c r="BSB227" s="18"/>
      <c r="BSC227" s="18"/>
      <c r="BSD227" s="18"/>
      <c r="BSE227" s="18"/>
      <c r="BSF227" s="18"/>
      <c r="BSG227" s="18"/>
      <c r="BSH227" s="18"/>
      <c r="BSI227" s="18"/>
      <c r="BSJ227" s="18"/>
      <c r="BSK227" s="18"/>
      <c r="BSL227" s="18"/>
      <c r="BSM227" s="18"/>
      <c r="BSN227" s="18"/>
      <c r="BSO227" s="18"/>
      <c r="BSP227" s="18"/>
      <c r="BSQ227" s="18"/>
      <c r="BSR227" s="18"/>
      <c r="BSS227" s="18"/>
      <c r="BST227" s="18"/>
      <c r="BSU227" s="18"/>
      <c r="BSV227" s="18"/>
      <c r="BSW227" s="18"/>
      <c r="BSX227" s="18"/>
      <c r="BSY227" s="18"/>
      <c r="BSZ227" s="18"/>
      <c r="BTA227" s="18"/>
      <c r="BTB227" s="18"/>
      <c r="BTC227" s="18"/>
      <c r="BTD227" s="18"/>
      <c r="BTE227" s="18"/>
      <c r="BTF227" s="18"/>
      <c r="BTG227" s="18"/>
      <c r="BTH227" s="18"/>
      <c r="BTI227" s="18"/>
    </row>
    <row r="228" spans="1:1881" s="426" customFormat="1" ht="78.75" customHeight="1" x14ac:dyDescent="0.3">
      <c r="A228" s="100">
        <v>602</v>
      </c>
      <c r="B228" s="373" t="s">
        <v>58</v>
      </c>
      <c r="C228" s="373" t="s">
        <v>285</v>
      </c>
      <c r="D228" s="99" t="s">
        <v>343</v>
      </c>
      <c r="E228" s="371" t="e">
        <f>INDEX('PY1 Data(H)'!$A$1:$CZ$265,MATCH('Unit Data from Audit Worksheet'!$A228,'PY1 Data(H)'!$A$1:$A$258,0),MATCH('Unit Data from Audit Worksheet'!$D$2,'PY1 Data(H)'!$A$1:$CZ$1,0))</f>
        <v>#N/A</v>
      </c>
      <c r="F228" s="793">
        <v>0</v>
      </c>
      <c r="G228" s="430" t="str">
        <f>IF(ISBLANK(F228),"Please do not leave blank","")</f>
        <v/>
      </c>
      <c r="H228" s="401">
        <f>IF(F228&lt;0,"Note: Number is normally positive.",)</f>
        <v>0</v>
      </c>
      <c r="I228" s="17"/>
      <c r="J228" s="72"/>
      <c r="K228"/>
      <c r="L228" s="547"/>
      <c r="M228"/>
      <c r="N228" s="18"/>
      <c r="O228" s="186"/>
      <c r="P228" s="18"/>
      <c r="Q228" s="18"/>
      <c r="R228" s="18"/>
      <c r="S228" s="18"/>
      <c r="T228" s="18"/>
      <c r="U228" s="18"/>
      <c r="V228" s="18"/>
      <c r="W228" s="18"/>
      <c r="X228" s="18"/>
      <c r="Y228" s="1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c r="IS228" s="18"/>
      <c r="IT228" s="18"/>
      <c r="IU228" s="18"/>
      <c r="IV228" s="18"/>
      <c r="IW228" s="18"/>
      <c r="IX228" s="18"/>
      <c r="IY228" s="18"/>
      <c r="IZ228" s="18"/>
      <c r="JA228" s="18"/>
      <c r="JB228" s="18"/>
      <c r="JC228" s="18"/>
      <c r="JD228" s="18"/>
      <c r="JE228" s="18"/>
      <c r="JF228" s="18"/>
      <c r="JG228" s="18"/>
      <c r="JH228" s="18"/>
      <c r="JI228" s="18"/>
      <c r="JJ228" s="18"/>
      <c r="JK228" s="18"/>
      <c r="JL228" s="18"/>
      <c r="JM228" s="18"/>
      <c r="JN228" s="18"/>
      <c r="JO228" s="18"/>
      <c r="JP228" s="18"/>
      <c r="JQ228" s="18"/>
      <c r="JR228" s="18"/>
      <c r="JS228" s="18"/>
      <c r="JT228" s="18"/>
      <c r="JU228" s="18"/>
      <c r="JV228" s="18"/>
      <c r="JW228" s="18"/>
      <c r="JX228" s="18"/>
      <c r="JY228" s="18"/>
      <c r="JZ228" s="18"/>
      <c r="KA228" s="18"/>
      <c r="KB228" s="18"/>
      <c r="KC228" s="18"/>
      <c r="KD228" s="18"/>
      <c r="KE228" s="18"/>
      <c r="KF228" s="18"/>
      <c r="KG228" s="18"/>
      <c r="KH228" s="18"/>
      <c r="KI228" s="18"/>
      <c r="KJ228" s="18"/>
      <c r="KK228" s="18"/>
      <c r="KL228" s="18"/>
      <c r="KM228" s="18"/>
      <c r="KN228" s="18"/>
      <c r="KO228" s="18"/>
      <c r="KP228" s="18"/>
      <c r="KQ228" s="18"/>
      <c r="KR228" s="18"/>
      <c r="KS228" s="18"/>
      <c r="KT228" s="18"/>
      <c r="KU228" s="18"/>
      <c r="KV228" s="18"/>
      <c r="KW228" s="18"/>
      <c r="KX228" s="18"/>
      <c r="KY228" s="18"/>
      <c r="KZ228" s="18"/>
      <c r="LA228" s="18"/>
      <c r="LB228" s="18"/>
      <c r="LC228" s="18"/>
      <c r="LD228" s="18"/>
      <c r="LE228" s="18"/>
      <c r="LF228" s="18"/>
      <c r="LG228" s="18"/>
      <c r="LH228" s="18"/>
      <c r="LI228" s="18"/>
      <c r="LJ228" s="18"/>
      <c r="LK228" s="18"/>
      <c r="LL228" s="18"/>
      <c r="LM228" s="18"/>
      <c r="LN228" s="18"/>
      <c r="LO228" s="18"/>
      <c r="LP228" s="18"/>
      <c r="LQ228" s="18"/>
      <c r="LR228" s="18"/>
      <c r="LS228" s="18"/>
      <c r="LT228" s="18"/>
      <c r="LU228" s="18"/>
      <c r="LV228" s="18"/>
      <c r="LW228" s="18"/>
      <c r="LX228" s="18"/>
      <c r="LY228" s="18"/>
      <c r="LZ228" s="18"/>
      <c r="MA228" s="18"/>
      <c r="MB228" s="18"/>
      <c r="MC228" s="18"/>
      <c r="MD228" s="18"/>
      <c r="ME228" s="18"/>
      <c r="MF228" s="18"/>
      <c r="MG228" s="18"/>
      <c r="MH228" s="18"/>
      <c r="MI228" s="18"/>
      <c r="MJ228" s="18"/>
      <c r="MK228" s="18"/>
      <c r="ML228" s="18"/>
      <c r="MM228" s="18"/>
      <c r="MN228" s="18"/>
      <c r="MO228" s="18"/>
      <c r="MP228" s="18"/>
      <c r="MQ228" s="18"/>
      <c r="MR228" s="18"/>
      <c r="MS228" s="18"/>
      <c r="MT228" s="18"/>
      <c r="MU228" s="18"/>
      <c r="MV228" s="18"/>
      <c r="MW228" s="18"/>
      <c r="MX228" s="18"/>
      <c r="MY228" s="18"/>
      <c r="MZ228" s="18"/>
      <c r="NA228" s="18"/>
      <c r="NB228" s="18"/>
      <c r="NC228" s="18"/>
      <c r="ND228" s="18"/>
      <c r="NE228" s="18"/>
      <c r="NF228" s="18"/>
      <c r="NG228" s="18"/>
      <c r="NH228" s="18"/>
      <c r="NI228" s="18"/>
      <c r="NJ228" s="18"/>
      <c r="NK228" s="18"/>
      <c r="NL228" s="18"/>
      <c r="NM228" s="18"/>
      <c r="NN228" s="18"/>
      <c r="NO228" s="18"/>
      <c r="NP228" s="18"/>
      <c r="NQ228" s="18"/>
      <c r="NR228" s="18"/>
      <c r="NS228" s="18"/>
      <c r="NT228" s="18"/>
      <c r="NU228" s="18"/>
      <c r="NV228" s="18"/>
      <c r="NW228" s="18"/>
      <c r="NX228" s="18"/>
      <c r="NY228" s="18"/>
      <c r="NZ228" s="18"/>
      <c r="OA228" s="18"/>
      <c r="OB228" s="18"/>
      <c r="OC228" s="18"/>
      <c r="OD228" s="18"/>
      <c r="OE228" s="18"/>
      <c r="OF228" s="18"/>
      <c r="OG228" s="18"/>
      <c r="OH228" s="18"/>
      <c r="OI228" s="18"/>
      <c r="OJ228" s="18"/>
      <c r="OK228" s="18"/>
      <c r="OL228" s="18"/>
      <c r="OM228" s="18"/>
      <c r="ON228" s="18"/>
      <c r="OO228" s="18"/>
      <c r="OP228" s="18"/>
      <c r="OQ228" s="18"/>
      <c r="OR228" s="18"/>
      <c r="OS228" s="18"/>
      <c r="OT228" s="18"/>
      <c r="OU228" s="18"/>
      <c r="OV228" s="18"/>
      <c r="OW228" s="18"/>
      <c r="OX228" s="18"/>
      <c r="OY228" s="18"/>
      <c r="OZ228" s="18"/>
      <c r="PA228" s="18"/>
      <c r="PB228" s="18"/>
      <c r="PC228" s="18"/>
      <c r="PD228" s="18"/>
      <c r="PE228" s="18"/>
      <c r="PF228" s="18"/>
      <c r="PG228" s="18"/>
      <c r="PH228" s="18"/>
      <c r="PI228" s="18"/>
      <c r="PJ228" s="18"/>
      <c r="PK228" s="18"/>
      <c r="PL228" s="18"/>
      <c r="PM228" s="18"/>
      <c r="PN228" s="18"/>
      <c r="PO228" s="18"/>
      <c r="PP228" s="18"/>
      <c r="PQ228" s="18"/>
      <c r="PR228" s="18"/>
      <c r="PS228" s="18"/>
      <c r="PT228" s="18"/>
      <c r="PU228" s="18"/>
      <c r="PV228" s="18"/>
      <c r="PW228" s="18"/>
      <c r="PX228" s="18"/>
      <c r="PY228" s="18"/>
      <c r="PZ228" s="18"/>
      <c r="QA228" s="18"/>
      <c r="QB228" s="18"/>
      <c r="QC228" s="18"/>
      <c r="QD228" s="18"/>
      <c r="QE228" s="18"/>
      <c r="QF228" s="18"/>
      <c r="QG228" s="18"/>
      <c r="QH228" s="18"/>
      <c r="QI228" s="18"/>
      <c r="QJ228" s="18"/>
      <c r="QK228" s="18"/>
      <c r="QL228" s="18"/>
      <c r="QM228" s="18"/>
      <c r="QN228" s="18"/>
      <c r="QO228" s="18"/>
      <c r="QP228" s="18"/>
      <c r="QQ228" s="18"/>
      <c r="QR228" s="18"/>
      <c r="QS228" s="18"/>
      <c r="QT228" s="18"/>
      <c r="QU228" s="18"/>
      <c r="QV228" s="18"/>
      <c r="QW228" s="18"/>
      <c r="QX228" s="18"/>
      <c r="QY228" s="18"/>
      <c r="QZ228" s="18"/>
      <c r="RA228" s="18"/>
      <c r="RB228" s="18"/>
      <c r="RC228" s="18"/>
      <c r="RD228" s="18"/>
      <c r="RE228" s="18"/>
      <c r="RF228" s="18"/>
      <c r="RG228" s="18"/>
      <c r="RH228" s="18"/>
      <c r="RI228" s="18"/>
      <c r="RJ228" s="18"/>
      <c r="RK228" s="18"/>
      <c r="RL228" s="18"/>
      <c r="RM228" s="18"/>
      <c r="RN228" s="18"/>
      <c r="RO228" s="18"/>
      <c r="RP228" s="18"/>
      <c r="RQ228" s="18"/>
      <c r="RR228" s="18"/>
      <c r="RS228" s="18"/>
      <c r="RT228" s="18"/>
      <c r="RU228" s="18"/>
      <c r="RV228" s="18"/>
      <c r="RW228" s="18"/>
      <c r="RX228" s="18"/>
      <c r="RY228" s="18"/>
      <c r="RZ228" s="18"/>
      <c r="SA228" s="18"/>
      <c r="SB228" s="18"/>
      <c r="SC228" s="18"/>
      <c r="SD228" s="18"/>
      <c r="SE228" s="18"/>
      <c r="SF228" s="18"/>
      <c r="SG228" s="18"/>
      <c r="SH228" s="18"/>
      <c r="SI228" s="18"/>
      <c r="SJ228" s="18"/>
      <c r="SK228" s="18"/>
      <c r="SL228" s="18"/>
      <c r="SM228" s="18"/>
      <c r="SN228" s="18"/>
      <c r="SO228" s="18"/>
      <c r="SP228" s="18"/>
      <c r="SQ228" s="18"/>
      <c r="SR228" s="18"/>
      <c r="SS228" s="18"/>
      <c r="ST228" s="18"/>
      <c r="SU228" s="18"/>
      <c r="SV228" s="18"/>
      <c r="SW228" s="18"/>
      <c r="SX228" s="18"/>
      <c r="SY228" s="18"/>
      <c r="SZ228" s="18"/>
      <c r="TA228" s="18"/>
      <c r="TB228" s="18"/>
      <c r="TC228" s="18"/>
      <c r="TD228" s="18"/>
      <c r="TE228" s="18"/>
      <c r="TF228" s="18"/>
      <c r="TG228" s="18"/>
      <c r="TH228" s="18"/>
      <c r="TI228" s="18"/>
      <c r="TJ228" s="18"/>
      <c r="TK228" s="18"/>
      <c r="TL228" s="18"/>
      <c r="TM228" s="18"/>
      <c r="TN228" s="18"/>
      <c r="TO228" s="18"/>
      <c r="TP228" s="18"/>
      <c r="TQ228" s="18"/>
      <c r="TR228" s="18"/>
      <c r="TS228" s="18"/>
      <c r="TT228" s="18"/>
      <c r="TU228" s="18"/>
      <c r="TV228" s="18"/>
      <c r="TW228" s="18"/>
      <c r="TX228" s="18"/>
      <c r="TY228" s="18"/>
      <c r="TZ228" s="18"/>
      <c r="UA228" s="18"/>
      <c r="UB228" s="18"/>
      <c r="UC228" s="18"/>
      <c r="UD228" s="18"/>
      <c r="UE228" s="18"/>
      <c r="UF228" s="18"/>
      <c r="UG228" s="18"/>
      <c r="UH228" s="18"/>
      <c r="UI228" s="18"/>
      <c r="UJ228" s="18"/>
      <c r="UK228" s="18"/>
      <c r="UL228" s="18"/>
      <c r="UM228" s="18"/>
      <c r="UN228" s="18"/>
      <c r="UO228" s="18"/>
      <c r="UP228" s="18"/>
      <c r="UQ228" s="18"/>
      <c r="UR228" s="18"/>
      <c r="US228" s="18"/>
      <c r="UT228" s="18"/>
      <c r="UU228" s="18"/>
      <c r="UV228" s="18"/>
      <c r="UW228" s="18"/>
      <c r="UX228" s="18"/>
      <c r="UY228" s="18"/>
      <c r="UZ228" s="18"/>
      <c r="VA228" s="18"/>
      <c r="VB228" s="18"/>
      <c r="VC228" s="18"/>
      <c r="VD228" s="18"/>
      <c r="VE228" s="18"/>
      <c r="VF228" s="18"/>
      <c r="VG228" s="18"/>
      <c r="VH228" s="18"/>
      <c r="VI228" s="18"/>
      <c r="VJ228" s="18"/>
      <c r="VK228" s="18"/>
      <c r="VL228" s="18"/>
      <c r="VM228" s="18"/>
      <c r="VN228" s="18"/>
      <c r="VO228" s="18"/>
      <c r="VP228" s="18"/>
      <c r="VQ228" s="18"/>
      <c r="VR228" s="18"/>
      <c r="VS228" s="18"/>
      <c r="VT228" s="18"/>
      <c r="VU228" s="18"/>
      <c r="VV228" s="18"/>
      <c r="VW228" s="18"/>
      <c r="VX228" s="18"/>
      <c r="VY228" s="18"/>
      <c r="VZ228" s="18"/>
      <c r="WA228" s="18"/>
      <c r="WB228" s="18"/>
      <c r="WC228" s="18"/>
      <c r="WD228" s="18"/>
      <c r="WE228" s="18"/>
      <c r="WF228" s="18"/>
      <c r="WG228" s="18"/>
      <c r="WH228" s="18"/>
      <c r="WI228" s="18"/>
      <c r="WJ228" s="18"/>
      <c r="WK228" s="18"/>
      <c r="WL228" s="18"/>
      <c r="WM228" s="18"/>
      <c r="WN228" s="18"/>
      <c r="WO228" s="18"/>
      <c r="WP228" s="18"/>
      <c r="WQ228" s="18"/>
      <c r="WR228" s="18"/>
      <c r="WS228" s="18"/>
      <c r="WT228" s="18"/>
      <c r="WU228" s="18"/>
      <c r="WV228" s="18"/>
      <c r="WW228" s="18"/>
      <c r="WX228" s="18"/>
      <c r="WY228" s="18"/>
      <c r="WZ228" s="18"/>
      <c r="XA228" s="18"/>
      <c r="XB228" s="18"/>
      <c r="XC228" s="18"/>
      <c r="XD228" s="18"/>
      <c r="XE228" s="18"/>
      <c r="XF228" s="18"/>
      <c r="XG228" s="18"/>
      <c r="XH228" s="18"/>
      <c r="XI228" s="18"/>
      <c r="XJ228" s="18"/>
      <c r="XK228" s="18"/>
      <c r="XL228" s="18"/>
      <c r="XM228" s="18"/>
      <c r="XN228" s="18"/>
      <c r="XO228" s="18"/>
      <c r="XP228" s="18"/>
      <c r="XQ228" s="18"/>
      <c r="XR228" s="18"/>
      <c r="XS228" s="18"/>
      <c r="XT228" s="18"/>
      <c r="XU228" s="18"/>
      <c r="XV228" s="18"/>
      <c r="XW228" s="18"/>
      <c r="XX228" s="18"/>
      <c r="XY228" s="18"/>
      <c r="XZ228" s="18"/>
      <c r="YA228" s="18"/>
      <c r="YB228" s="18"/>
      <c r="YC228" s="18"/>
      <c r="YD228" s="18"/>
      <c r="YE228" s="18"/>
      <c r="YF228" s="18"/>
      <c r="YG228" s="18"/>
      <c r="YH228" s="18"/>
      <c r="YI228" s="18"/>
      <c r="YJ228" s="18"/>
      <c r="YK228" s="18"/>
      <c r="YL228" s="18"/>
      <c r="YM228" s="18"/>
      <c r="YN228" s="18"/>
      <c r="YO228" s="18"/>
      <c r="YP228" s="18"/>
      <c r="YQ228" s="18"/>
      <c r="YR228" s="18"/>
      <c r="YS228" s="18"/>
      <c r="YT228" s="18"/>
      <c r="YU228" s="18"/>
      <c r="YV228" s="18"/>
      <c r="YW228" s="18"/>
      <c r="YX228" s="18"/>
      <c r="YY228" s="18"/>
      <c r="YZ228" s="18"/>
      <c r="ZA228" s="18"/>
      <c r="ZB228" s="18"/>
      <c r="ZC228" s="18"/>
      <c r="ZD228" s="18"/>
      <c r="ZE228" s="18"/>
      <c r="ZF228" s="18"/>
      <c r="ZG228" s="18"/>
      <c r="ZH228" s="18"/>
      <c r="ZI228" s="18"/>
      <c r="ZJ228" s="18"/>
      <c r="ZK228" s="18"/>
      <c r="ZL228" s="18"/>
      <c r="ZM228" s="18"/>
      <c r="ZN228" s="18"/>
      <c r="ZO228" s="18"/>
      <c r="ZP228" s="18"/>
      <c r="ZQ228" s="18"/>
      <c r="ZR228" s="18"/>
      <c r="ZS228" s="18"/>
      <c r="ZT228" s="18"/>
      <c r="ZU228" s="18"/>
      <c r="ZV228" s="18"/>
      <c r="ZW228" s="18"/>
      <c r="ZX228" s="18"/>
      <c r="ZY228" s="18"/>
      <c r="ZZ228" s="18"/>
      <c r="AAA228" s="18"/>
      <c r="AAB228" s="18"/>
      <c r="AAC228" s="18"/>
      <c r="AAD228" s="18"/>
      <c r="AAE228" s="18"/>
      <c r="AAF228" s="18"/>
      <c r="AAG228" s="18"/>
      <c r="AAH228" s="18"/>
      <c r="AAI228" s="18"/>
      <c r="AAJ228" s="18"/>
      <c r="AAK228" s="18"/>
      <c r="AAL228" s="18"/>
      <c r="AAM228" s="18"/>
      <c r="AAN228" s="18"/>
      <c r="AAO228" s="18"/>
      <c r="AAP228" s="18"/>
      <c r="AAQ228" s="18"/>
      <c r="AAR228" s="18"/>
      <c r="AAS228" s="18"/>
      <c r="AAT228" s="18"/>
      <c r="AAU228" s="18"/>
      <c r="AAV228" s="18"/>
      <c r="AAW228" s="18"/>
      <c r="AAX228" s="18"/>
      <c r="AAY228" s="18"/>
      <c r="AAZ228" s="18"/>
      <c r="ABA228" s="18"/>
      <c r="ABB228" s="18"/>
      <c r="ABC228" s="18"/>
      <c r="ABD228" s="18"/>
      <c r="ABE228" s="18"/>
      <c r="ABF228" s="18"/>
      <c r="ABG228" s="18"/>
      <c r="ABH228" s="18"/>
      <c r="ABI228" s="18"/>
      <c r="ABJ228" s="18"/>
      <c r="ABK228" s="18"/>
      <c r="ABL228" s="18"/>
      <c r="ABM228" s="18"/>
      <c r="ABN228" s="18"/>
      <c r="ABO228" s="18"/>
      <c r="ABP228" s="18"/>
      <c r="ABQ228" s="18"/>
      <c r="ABR228" s="18"/>
      <c r="ABS228" s="18"/>
      <c r="ABT228" s="18"/>
      <c r="ABU228" s="18"/>
      <c r="ABV228" s="18"/>
      <c r="ABW228" s="18"/>
      <c r="ABX228" s="18"/>
      <c r="ABY228" s="18"/>
      <c r="ABZ228" s="18"/>
      <c r="ACA228" s="18"/>
      <c r="ACB228" s="18"/>
      <c r="ACC228" s="18"/>
      <c r="ACD228" s="18"/>
      <c r="ACE228" s="18"/>
      <c r="ACF228" s="18"/>
      <c r="ACG228" s="18"/>
      <c r="ACH228" s="18"/>
      <c r="ACI228" s="18"/>
      <c r="ACJ228" s="18"/>
      <c r="ACK228" s="18"/>
      <c r="ACL228" s="18"/>
      <c r="ACM228" s="18"/>
      <c r="ACN228" s="18"/>
      <c r="ACO228" s="18"/>
      <c r="ACP228" s="18"/>
      <c r="ACQ228" s="18"/>
      <c r="ACR228" s="18"/>
      <c r="ACS228" s="18"/>
      <c r="ACT228" s="18"/>
      <c r="ACU228" s="18"/>
      <c r="ACV228" s="18"/>
      <c r="ACW228" s="18"/>
      <c r="ACX228" s="18"/>
      <c r="ACY228" s="18"/>
      <c r="ACZ228" s="18"/>
      <c r="ADA228" s="18"/>
      <c r="ADB228" s="18"/>
      <c r="ADC228" s="18"/>
      <c r="ADD228" s="18"/>
      <c r="ADE228" s="18"/>
      <c r="ADF228" s="18"/>
      <c r="ADG228" s="18"/>
      <c r="ADH228" s="18"/>
      <c r="ADI228" s="18"/>
      <c r="ADJ228" s="18"/>
      <c r="ADK228" s="18"/>
      <c r="ADL228" s="18"/>
      <c r="ADM228" s="18"/>
      <c r="ADN228" s="18"/>
      <c r="ADO228" s="18"/>
      <c r="ADP228" s="18"/>
      <c r="ADQ228" s="18"/>
      <c r="ADR228" s="18"/>
      <c r="ADS228" s="18"/>
      <c r="ADT228" s="18"/>
      <c r="ADU228" s="18"/>
      <c r="ADV228" s="18"/>
      <c r="ADW228" s="18"/>
      <c r="ADX228" s="18"/>
      <c r="ADY228" s="18"/>
      <c r="ADZ228" s="18"/>
      <c r="AEA228" s="18"/>
      <c r="AEB228" s="18"/>
      <c r="AEC228" s="18"/>
      <c r="AED228" s="18"/>
      <c r="AEE228" s="18"/>
      <c r="AEF228" s="18"/>
      <c r="AEG228" s="18"/>
      <c r="AEH228" s="18"/>
      <c r="AEI228" s="18"/>
      <c r="AEJ228" s="18"/>
      <c r="AEK228" s="18"/>
      <c r="AEL228" s="18"/>
      <c r="AEM228" s="18"/>
      <c r="AEN228" s="18"/>
      <c r="AEO228" s="18"/>
      <c r="AEP228" s="18"/>
      <c r="AEQ228" s="18"/>
      <c r="AER228" s="18"/>
      <c r="AES228" s="18"/>
      <c r="AET228" s="18"/>
      <c r="AEU228" s="18"/>
      <c r="AEV228" s="18"/>
      <c r="AEW228" s="18"/>
      <c r="AEX228" s="18"/>
      <c r="AEY228" s="18"/>
      <c r="AEZ228" s="18"/>
      <c r="AFA228" s="18"/>
      <c r="AFB228" s="18"/>
      <c r="AFC228" s="18"/>
      <c r="AFD228" s="18"/>
      <c r="AFE228" s="18"/>
      <c r="AFF228" s="18"/>
      <c r="AFG228" s="18"/>
      <c r="AFH228" s="18"/>
      <c r="AFI228" s="18"/>
      <c r="AFJ228" s="18"/>
      <c r="AFK228" s="18"/>
      <c r="AFL228" s="18"/>
      <c r="AFM228" s="18"/>
      <c r="AFN228" s="18"/>
      <c r="AFO228" s="18"/>
      <c r="AFP228" s="18"/>
      <c r="AFQ228" s="18"/>
      <c r="AFR228" s="18"/>
      <c r="AFS228" s="18"/>
      <c r="AFT228" s="18"/>
      <c r="AFU228" s="18"/>
      <c r="AFV228" s="18"/>
      <c r="AFW228" s="18"/>
      <c r="AFX228" s="18"/>
      <c r="AFY228" s="18"/>
      <c r="AFZ228" s="18"/>
      <c r="AGA228" s="18"/>
      <c r="AGB228" s="18"/>
      <c r="AGC228" s="18"/>
      <c r="AGD228" s="18"/>
      <c r="AGE228" s="18"/>
      <c r="AGF228" s="18"/>
      <c r="AGG228" s="18"/>
      <c r="AGH228" s="18"/>
      <c r="AGI228" s="18"/>
      <c r="AGJ228" s="18"/>
      <c r="AGK228" s="18"/>
      <c r="AGL228" s="18"/>
      <c r="AGM228" s="18"/>
      <c r="AGN228" s="18"/>
      <c r="AGO228" s="18"/>
      <c r="AGP228" s="18"/>
      <c r="AGQ228" s="18"/>
      <c r="AGR228" s="18"/>
      <c r="AGS228" s="18"/>
      <c r="AGT228" s="18"/>
      <c r="AGU228" s="18"/>
      <c r="AGV228" s="18"/>
      <c r="AGW228" s="18"/>
      <c r="AGX228" s="18"/>
      <c r="AGY228" s="18"/>
      <c r="AGZ228" s="18"/>
      <c r="AHA228" s="18"/>
      <c r="AHB228" s="18"/>
      <c r="AHC228" s="18"/>
      <c r="AHD228" s="18"/>
      <c r="AHE228" s="18"/>
      <c r="AHF228" s="18"/>
      <c r="AHG228" s="18"/>
      <c r="AHH228" s="18"/>
      <c r="AHI228" s="18"/>
      <c r="AHJ228" s="18"/>
      <c r="AHK228" s="18"/>
      <c r="AHL228" s="18"/>
      <c r="AHM228" s="18"/>
      <c r="AHN228" s="18"/>
      <c r="AHO228" s="18"/>
      <c r="AHP228" s="18"/>
      <c r="AHQ228" s="18"/>
      <c r="AHR228" s="18"/>
      <c r="AHS228" s="18"/>
      <c r="AHT228" s="18"/>
      <c r="AHU228" s="18"/>
      <c r="AHV228" s="18"/>
      <c r="AHW228" s="18"/>
      <c r="AHX228" s="18"/>
      <c r="AHY228" s="18"/>
      <c r="AHZ228" s="18"/>
      <c r="AIA228" s="18"/>
      <c r="AIB228" s="18"/>
      <c r="AIC228" s="18"/>
      <c r="AID228" s="18"/>
      <c r="AIE228" s="18"/>
      <c r="AIF228" s="18"/>
      <c r="AIG228" s="18"/>
      <c r="AIH228" s="18"/>
      <c r="AII228" s="18"/>
      <c r="AIJ228" s="18"/>
      <c r="AIK228" s="18"/>
      <c r="AIL228" s="18"/>
      <c r="AIM228" s="18"/>
      <c r="AIN228" s="18"/>
      <c r="AIO228" s="18"/>
      <c r="AIP228" s="18"/>
      <c r="AIQ228" s="18"/>
      <c r="AIR228" s="18"/>
      <c r="AIS228" s="18"/>
      <c r="AIT228" s="18"/>
      <c r="AIU228" s="18"/>
      <c r="AIV228" s="18"/>
      <c r="AIW228" s="18"/>
      <c r="AIX228" s="18"/>
      <c r="AIY228" s="18"/>
      <c r="AIZ228" s="18"/>
      <c r="AJA228" s="18"/>
      <c r="AJB228" s="18"/>
      <c r="AJC228" s="18"/>
      <c r="AJD228" s="18"/>
      <c r="AJE228" s="18"/>
      <c r="AJF228" s="18"/>
      <c r="AJG228" s="18"/>
      <c r="AJH228" s="18"/>
      <c r="AJI228" s="18"/>
      <c r="AJJ228" s="18"/>
      <c r="AJK228" s="18"/>
      <c r="AJL228" s="18"/>
      <c r="AJM228" s="18"/>
      <c r="AJN228" s="18"/>
      <c r="AJO228" s="18"/>
      <c r="AJP228" s="18"/>
      <c r="AJQ228" s="18"/>
      <c r="AJR228" s="18"/>
      <c r="AJS228" s="18"/>
      <c r="AJT228" s="18"/>
      <c r="AJU228" s="18"/>
      <c r="AJV228" s="18"/>
      <c r="AJW228" s="18"/>
      <c r="AJX228" s="18"/>
      <c r="AJY228" s="18"/>
      <c r="AJZ228" s="18"/>
      <c r="AKA228" s="18"/>
      <c r="AKB228" s="18"/>
      <c r="AKC228" s="18"/>
      <c r="AKD228" s="18"/>
      <c r="AKE228" s="18"/>
      <c r="AKF228" s="18"/>
      <c r="AKG228" s="18"/>
      <c r="AKH228" s="18"/>
      <c r="AKI228" s="18"/>
      <c r="AKJ228" s="18"/>
      <c r="AKK228" s="18"/>
      <c r="AKL228" s="18"/>
      <c r="AKM228" s="18"/>
      <c r="AKN228" s="18"/>
      <c r="AKO228" s="18"/>
      <c r="AKP228" s="18"/>
      <c r="AKQ228" s="18"/>
      <c r="AKR228" s="18"/>
      <c r="AKS228" s="18"/>
      <c r="AKT228" s="18"/>
      <c r="AKU228" s="18"/>
      <c r="AKV228" s="18"/>
      <c r="AKW228" s="18"/>
      <c r="AKX228" s="18"/>
      <c r="AKY228" s="18"/>
      <c r="AKZ228" s="18"/>
      <c r="ALA228" s="18"/>
      <c r="ALB228" s="18"/>
      <c r="ALC228" s="18"/>
      <c r="ALD228" s="18"/>
      <c r="ALE228" s="18"/>
      <c r="ALF228" s="18"/>
      <c r="ALG228" s="18"/>
      <c r="ALH228" s="18"/>
      <c r="ALI228" s="18"/>
      <c r="ALJ228" s="18"/>
      <c r="ALK228" s="18"/>
      <c r="ALL228" s="18"/>
      <c r="ALM228" s="18"/>
      <c r="ALN228" s="18"/>
      <c r="ALO228" s="18"/>
      <c r="ALP228" s="18"/>
      <c r="ALQ228" s="18"/>
      <c r="ALR228" s="18"/>
      <c r="ALS228" s="18"/>
      <c r="ALT228" s="18"/>
      <c r="ALU228" s="18"/>
      <c r="ALV228" s="18"/>
      <c r="ALW228" s="18"/>
      <c r="ALX228" s="18"/>
      <c r="ALY228" s="18"/>
      <c r="ALZ228" s="18"/>
      <c r="AMA228" s="18"/>
      <c r="AMB228" s="18"/>
      <c r="AMC228" s="18"/>
      <c r="AMD228" s="18"/>
      <c r="AME228" s="18"/>
      <c r="AMF228" s="18"/>
      <c r="AMG228" s="18"/>
      <c r="AMH228" s="18"/>
      <c r="AMI228" s="18"/>
      <c r="AMJ228" s="18"/>
      <c r="AMK228" s="18"/>
      <c r="AML228" s="18"/>
      <c r="AMM228" s="18"/>
      <c r="AMN228" s="18"/>
      <c r="AMO228" s="18"/>
      <c r="AMP228" s="18"/>
      <c r="AMQ228" s="18"/>
      <c r="AMR228" s="18"/>
      <c r="AMS228" s="18"/>
      <c r="AMT228" s="18"/>
      <c r="AMU228" s="18"/>
      <c r="AMV228" s="18"/>
      <c r="AMW228" s="18"/>
      <c r="AMX228" s="18"/>
      <c r="AMY228" s="18"/>
      <c r="AMZ228" s="18"/>
      <c r="ANA228" s="18"/>
      <c r="ANB228" s="18"/>
      <c r="ANC228" s="18"/>
      <c r="AND228" s="18"/>
      <c r="ANE228" s="18"/>
      <c r="ANF228" s="18"/>
      <c r="ANG228" s="18"/>
      <c r="ANH228" s="18"/>
      <c r="ANI228" s="18"/>
      <c r="ANJ228" s="18"/>
      <c r="ANK228" s="18"/>
      <c r="ANL228" s="18"/>
      <c r="ANM228" s="18"/>
      <c r="ANN228" s="18"/>
      <c r="ANO228" s="18"/>
      <c r="ANP228" s="18"/>
      <c r="ANQ228" s="18"/>
      <c r="ANR228" s="18"/>
      <c r="ANS228" s="18"/>
      <c r="ANT228" s="18"/>
      <c r="ANU228" s="18"/>
      <c r="ANV228" s="18"/>
      <c r="ANW228" s="18"/>
      <c r="ANX228" s="18"/>
      <c r="ANY228" s="18"/>
      <c r="ANZ228" s="18"/>
      <c r="AOA228" s="18"/>
      <c r="AOB228" s="18"/>
      <c r="AOC228" s="18"/>
      <c r="AOD228" s="18"/>
      <c r="AOE228" s="18"/>
      <c r="AOF228" s="18"/>
      <c r="AOG228" s="18"/>
      <c r="AOH228" s="18"/>
      <c r="AOI228" s="18"/>
      <c r="AOJ228" s="18"/>
      <c r="AOK228" s="18"/>
      <c r="AOL228" s="18"/>
      <c r="AOM228" s="18"/>
      <c r="AON228" s="18"/>
      <c r="AOO228" s="18"/>
      <c r="AOP228" s="18"/>
      <c r="AOQ228" s="18"/>
      <c r="AOR228" s="18"/>
      <c r="AOS228" s="18"/>
      <c r="AOT228" s="18"/>
      <c r="AOU228" s="18"/>
      <c r="AOV228" s="18"/>
      <c r="AOW228" s="18"/>
      <c r="AOX228" s="18"/>
      <c r="AOY228" s="18"/>
      <c r="AOZ228" s="18"/>
      <c r="APA228" s="18"/>
      <c r="APB228" s="18"/>
      <c r="APC228" s="18"/>
      <c r="APD228" s="18"/>
      <c r="APE228" s="18"/>
      <c r="APF228" s="18"/>
      <c r="APG228" s="18"/>
      <c r="APH228" s="18"/>
      <c r="API228" s="18"/>
      <c r="APJ228" s="18"/>
      <c r="APK228" s="18"/>
      <c r="APL228" s="18"/>
      <c r="APM228" s="18"/>
      <c r="APN228" s="18"/>
      <c r="APO228" s="18"/>
      <c r="APP228" s="18"/>
      <c r="APQ228" s="18"/>
      <c r="APR228" s="18"/>
      <c r="APS228" s="18"/>
      <c r="APT228" s="18"/>
      <c r="APU228" s="18"/>
      <c r="APV228" s="18"/>
      <c r="APW228" s="18"/>
      <c r="APX228" s="18"/>
      <c r="APY228" s="18"/>
      <c r="APZ228" s="18"/>
      <c r="AQA228" s="18"/>
      <c r="AQB228" s="18"/>
      <c r="AQC228" s="18"/>
      <c r="AQD228" s="18"/>
      <c r="AQE228" s="18"/>
      <c r="AQF228" s="18"/>
      <c r="AQG228" s="18"/>
      <c r="AQH228" s="18"/>
      <c r="AQI228" s="18"/>
      <c r="AQJ228" s="18"/>
      <c r="AQK228" s="18"/>
      <c r="AQL228" s="18"/>
      <c r="AQM228" s="18"/>
      <c r="AQN228" s="18"/>
      <c r="AQO228" s="18"/>
      <c r="AQP228" s="18"/>
      <c r="AQQ228" s="18"/>
      <c r="AQR228" s="18"/>
      <c r="AQS228" s="18"/>
      <c r="AQT228" s="18"/>
      <c r="AQU228" s="18"/>
      <c r="AQV228" s="18"/>
      <c r="AQW228" s="18"/>
      <c r="AQX228" s="18"/>
      <c r="AQY228" s="18"/>
      <c r="AQZ228" s="18"/>
      <c r="ARA228" s="18"/>
      <c r="ARB228" s="18"/>
      <c r="ARC228" s="18"/>
      <c r="ARD228" s="18"/>
      <c r="ARE228" s="18"/>
      <c r="ARF228" s="18"/>
      <c r="ARG228" s="18"/>
      <c r="ARH228" s="18"/>
      <c r="ARI228" s="18"/>
      <c r="ARJ228" s="18"/>
      <c r="ARK228" s="18"/>
      <c r="ARL228" s="18"/>
      <c r="ARM228" s="18"/>
      <c r="ARN228" s="18"/>
      <c r="ARO228" s="18"/>
      <c r="ARP228" s="18"/>
      <c r="ARQ228" s="18"/>
      <c r="ARR228" s="18"/>
      <c r="ARS228" s="18"/>
      <c r="ART228" s="18"/>
      <c r="ARU228" s="18"/>
      <c r="ARV228" s="18"/>
      <c r="ARW228" s="18"/>
      <c r="ARX228" s="18"/>
      <c r="ARY228" s="18"/>
      <c r="ARZ228" s="18"/>
      <c r="ASA228" s="18"/>
      <c r="ASB228" s="18"/>
      <c r="ASC228" s="18"/>
      <c r="ASD228" s="18"/>
      <c r="ASE228" s="18"/>
      <c r="ASF228" s="18"/>
      <c r="ASG228" s="18"/>
      <c r="ASH228" s="18"/>
      <c r="ASI228" s="18"/>
      <c r="ASJ228" s="18"/>
      <c r="ASK228" s="18"/>
      <c r="ASL228" s="18"/>
      <c r="ASM228" s="18"/>
      <c r="ASN228" s="18"/>
      <c r="ASO228" s="18"/>
      <c r="ASP228" s="18"/>
      <c r="ASQ228" s="18"/>
      <c r="ASR228" s="18"/>
      <c r="ASS228" s="18"/>
      <c r="AST228" s="18"/>
      <c r="ASU228" s="18"/>
      <c r="ASV228" s="18"/>
      <c r="ASW228" s="18"/>
      <c r="ASX228" s="18"/>
      <c r="ASY228" s="18"/>
      <c r="ASZ228" s="18"/>
      <c r="ATA228" s="18"/>
      <c r="ATB228" s="18"/>
      <c r="ATC228" s="18"/>
      <c r="ATD228" s="18"/>
      <c r="ATE228" s="18"/>
      <c r="ATF228" s="18"/>
      <c r="ATG228" s="18"/>
      <c r="ATH228" s="18"/>
      <c r="ATI228" s="18"/>
      <c r="ATJ228" s="18"/>
      <c r="ATK228" s="18"/>
      <c r="ATL228" s="18"/>
      <c r="ATM228" s="18"/>
      <c r="ATN228" s="18"/>
      <c r="ATO228" s="18"/>
      <c r="ATP228" s="18"/>
      <c r="ATQ228" s="18"/>
      <c r="ATR228" s="18"/>
      <c r="ATS228" s="18"/>
      <c r="ATT228" s="18"/>
      <c r="ATU228" s="18"/>
      <c r="ATV228" s="18"/>
      <c r="ATW228" s="18"/>
      <c r="ATX228" s="18"/>
      <c r="ATY228" s="18"/>
      <c r="ATZ228" s="18"/>
      <c r="AUA228" s="18"/>
      <c r="AUB228" s="18"/>
      <c r="AUC228" s="18"/>
      <c r="AUD228" s="18"/>
      <c r="AUE228" s="18"/>
      <c r="AUF228" s="18"/>
      <c r="AUG228" s="18"/>
      <c r="AUH228" s="18"/>
      <c r="AUI228" s="18"/>
      <c r="AUJ228" s="18"/>
      <c r="AUK228" s="18"/>
      <c r="AUL228" s="18"/>
      <c r="AUM228" s="18"/>
      <c r="AUN228" s="18"/>
      <c r="AUO228" s="18"/>
      <c r="AUP228" s="18"/>
      <c r="AUQ228" s="18"/>
      <c r="AUR228" s="18"/>
      <c r="AUS228" s="18"/>
      <c r="AUT228" s="18"/>
      <c r="AUU228" s="18"/>
      <c r="AUV228" s="18"/>
      <c r="AUW228" s="18"/>
      <c r="AUX228" s="18"/>
      <c r="AUY228" s="18"/>
      <c r="AUZ228" s="18"/>
      <c r="AVA228" s="18"/>
      <c r="AVB228" s="18"/>
      <c r="AVC228" s="18"/>
      <c r="AVD228" s="18"/>
      <c r="AVE228" s="18"/>
      <c r="AVF228" s="18"/>
      <c r="AVG228" s="18"/>
      <c r="AVH228" s="18"/>
      <c r="AVI228" s="18"/>
      <c r="AVJ228" s="18"/>
      <c r="AVK228" s="18"/>
      <c r="AVL228" s="18"/>
      <c r="AVM228" s="18"/>
      <c r="AVN228" s="18"/>
      <c r="AVO228" s="18"/>
      <c r="AVP228" s="18"/>
      <c r="AVQ228" s="18"/>
      <c r="AVR228" s="18"/>
      <c r="AVS228" s="18"/>
      <c r="AVT228" s="18"/>
      <c r="AVU228" s="18"/>
      <c r="AVV228" s="18"/>
      <c r="AVW228" s="18"/>
      <c r="AVX228" s="18"/>
      <c r="AVY228" s="18"/>
      <c r="AVZ228" s="18"/>
      <c r="AWA228" s="18"/>
      <c r="AWB228" s="18"/>
      <c r="AWC228" s="18"/>
      <c r="AWD228" s="18"/>
      <c r="AWE228" s="18"/>
      <c r="AWF228" s="18"/>
      <c r="AWG228" s="18"/>
      <c r="AWH228" s="18"/>
      <c r="AWI228" s="18"/>
      <c r="AWJ228" s="18"/>
      <c r="AWK228" s="18"/>
      <c r="AWL228" s="18"/>
      <c r="AWM228" s="18"/>
      <c r="AWN228" s="18"/>
      <c r="AWO228" s="18"/>
      <c r="AWP228" s="18"/>
      <c r="AWQ228" s="18"/>
      <c r="AWR228" s="18"/>
      <c r="AWS228" s="18"/>
      <c r="AWT228" s="18"/>
      <c r="AWU228" s="18"/>
      <c r="AWV228" s="18"/>
      <c r="AWW228" s="18"/>
      <c r="AWX228" s="18"/>
      <c r="AWY228" s="18"/>
      <c r="AWZ228" s="18"/>
      <c r="AXA228" s="18"/>
      <c r="AXB228" s="18"/>
      <c r="AXC228" s="18"/>
      <c r="AXD228" s="18"/>
      <c r="AXE228" s="18"/>
      <c r="AXF228" s="18"/>
      <c r="AXG228" s="18"/>
      <c r="AXH228" s="18"/>
      <c r="AXI228" s="18"/>
      <c r="AXJ228" s="18"/>
      <c r="AXK228" s="18"/>
      <c r="AXL228" s="18"/>
      <c r="AXM228" s="18"/>
      <c r="AXN228" s="18"/>
      <c r="AXO228" s="18"/>
      <c r="AXP228" s="18"/>
      <c r="AXQ228" s="18"/>
      <c r="AXR228" s="18"/>
      <c r="AXS228" s="18"/>
      <c r="AXT228" s="18"/>
      <c r="AXU228" s="18"/>
      <c r="AXV228" s="18"/>
      <c r="AXW228" s="18"/>
      <c r="AXX228" s="18"/>
      <c r="AXY228" s="18"/>
      <c r="AXZ228" s="18"/>
      <c r="AYA228" s="18"/>
      <c r="AYB228" s="18"/>
      <c r="AYC228" s="18"/>
      <c r="AYD228" s="18"/>
      <c r="AYE228" s="18"/>
      <c r="AYF228" s="18"/>
      <c r="AYG228" s="18"/>
      <c r="AYH228" s="18"/>
      <c r="AYI228" s="18"/>
      <c r="AYJ228" s="18"/>
      <c r="AYK228" s="18"/>
      <c r="AYL228" s="18"/>
      <c r="AYM228" s="18"/>
      <c r="AYN228" s="18"/>
      <c r="AYO228" s="18"/>
      <c r="AYP228" s="18"/>
      <c r="AYQ228" s="18"/>
      <c r="AYR228" s="18"/>
      <c r="AYS228" s="18"/>
      <c r="AYT228" s="18"/>
      <c r="AYU228" s="18"/>
      <c r="AYV228" s="18"/>
      <c r="AYW228" s="18"/>
      <c r="AYX228" s="18"/>
      <c r="AYY228" s="18"/>
      <c r="AYZ228" s="18"/>
      <c r="AZA228" s="18"/>
      <c r="AZB228" s="18"/>
      <c r="AZC228" s="18"/>
      <c r="AZD228" s="18"/>
      <c r="AZE228" s="18"/>
      <c r="AZF228" s="18"/>
      <c r="AZG228" s="18"/>
      <c r="AZH228" s="18"/>
      <c r="AZI228" s="18"/>
      <c r="AZJ228" s="18"/>
      <c r="AZK228" s="18"/>
      <c r="AZL228" s="18"/>
      <c r="AZM228" s="18"/>
      <c r="AZN228" s="18"/>
      <c r="AZO228" s="18"/>
      <c r="AZP228" s="18"/>
      <c r="AZQ228" s="18"/>
      <c r="AZR228" s="18"/>
      <c r="AZS228" s="18"/>
      <c r="AZT228" s="18"/>
      <c r="AZU228" s="18"/>
      <c r="AZV228" s="18"/>
      <c r="AZW228" s="18"/>
      <c r="AZX228" s="18"/>
      <c r="AZY228" s="18"/>
      <c r="AZZ228" s="18"/>
      <c r="BAA228" s="18"/>
      <c r="BAB228" s="18"/>
      <c r="BAC228" s="18"/>
      <c r="BAD228" s="18"/>
      <c r="BAE228" s="18"/>
      <c r="BAF228" s="18"/>
      <c r="BAG228" s="18"/>
      <c r="BAH228" s="18"/>
      <c r="BAI228" s="18"/>
      <c r="BAJ228" s="18"/>
      <c r="BAK228" s="18"/>
      <c r="BAL228" s="18"/>
      <c r="BAM228" s="18"/>
      <c r="BAN228" s="18"/>
      <c r="BAO228" s="18"/>
      <c r="BAP228" s="18"/>
      <c r="BAQ228" s="18"/>
      <c r="BAR228" s="18"/>
      <c r="BAS228" s="18"/>
      <c r="BAT228" s="18"/>
      <c r="BAU228" s="18"/>
      <c r="BAV228" s="18"/>
      <c r="BAW228" s="18"/>
      <c r="BAX228" s="18"/>
      <c r="BAY228" s="18"/>
      <c r="BAZ228" s="18"/>
      <c r="BBA228" s="18"/>
      <c r="BBB228" s="18"/>
      <c r="BBC228" s="18"/>
      <c r="BBD228" s="18"/>
      <c r="BBE228" s="18"/>
      <c r="BBF228" s="18"/>
      <c r="BBG228" s="18"/>
      <c r="BBH228" s="18"/>
      <c r="BBI228" s="18"/>
      <c r="BBJ228" s="18"/>
      <c r="BBK228" s="18"/>
      <c r="BBL228" s="18"/>
      <c r="BBM228" s="18"/>
      <c r="BBN228" s="18"/>
      <c r="BBO228" s="18"/>
      <c r="BBP228" s="18"/>
      <c r="BBQ228" s="18"/>
      <c r="BBR228" s="18"/>
      <c r="BBS228" s="18"/>
      <c r="BBT228" s="18"/>
      <c r="BBU228" s="18"/>
      <c r="BBV228" s="18"/>
      <c r="BBW228" s="18"/>
      <c r="BBX228" s="18"/>
      <c r="BBY228" s="18"/>
      <c r="BBZ228" s="18"/>
      <c r="BCA228" s="18"/>
      <c r="BCB228" s="18"/>
      <c r="BCC228" s="18"/>
      <c r="BCD228" s="18"/>
      <c r="BCE228" s="18"/>
      <c r="BCF228" s="18"/>
      <c r="BCG228" s="18"/>
      <c r="BCH228" s="18"/>
      <c r="BCI228" s="18"/>
      <c r="BCJ228" s="18"/>
      <c r="BCK228" s="18"/>
      <c r="BCL228" s="18"/>
      <c r="BCM228" s="18"/>
      <c r="BCN228" s="18"/>
      <c r="BCO228" s="18"/>
      <c r="BCP228" s="18"/>
      <c r="BCQ228" s="18"/>
      <c r="BCR228" s="18"/>
      <c r="BCS228" s="18"/>
      <c r="BCT228" s="18"/>
      <c r="BCU228" s="18"/>
      <c r="BCV228" s="18"/>
      <c r="BCW228" s="18"/>
      <c r="BCX228" s="18"/>
      <c r="BCY228" s="18"/>
      <c r="BCZ228" s="18"/>
      <c r="BDA228" s="18"/>
      <c r="BDB228" s="18"/>
      <c r="BDC228" s="18"/>
      <c r="BDD228" s="18"/>
      <c r="BDE228" s="18"/>
      <c r="BDF228" s="18"/>
      <c r="BDG228" s="18"/>
      <c r="BDH228" s="18"/>
      <c r="BDI228" s="18"/>
      <c r="BDJ228" s="18"/>
      <c r="BDK228" s="18"/>
      <c r="BDL228" s="18"/>
      <c r="BDM228" s="18"/>
      <c r="BDN228" s="18"/>
      <c r="BDO228" s="18"/>
      <c r="BDP228" s="18"/>
      <c r="BDQ228" s="18"/>
      <c r="BDR228" s="18"/>
      <c r="BDS228" s="18"/>
      <c r="BDT228" s="18"/>
      <c r="BDU228" s="18"/>
      <c r="BDV228" s="18"/>
      <c r="BDW228" s="18"/>
      <c r="BDX228" s="18"/>
      <c r="BDY228" s="18"/>
      <c r="BDZ228" s="18"/>
      <c r="BEA228" s="18"/>
      <c r="BEB228" s="18"/>
      <c r="BEC228" s="18"/>
      <c r="BED228" s="18"/>
      <c r="BEE228" s="18"/>
      <c r="BEF228" s="18"/>
      <c r="BEG228" s="18"/>
      <c r="BEH228" s="18"/>
      <c r="BEI228" s="18"/>
      <c r="BEJ228" s="18"/>
      <c r="BEK228" s="18"/>
      <c r="BEL228" s="18"/>
      <c r="BEM228" s="18"/>
      <c r="BEN228" s="18"/>
      <c r="BEO228" s="18"/>
      <c r="BEP228" s="18"/>
      <c r="BEQ228" s="18"/>
      <c r="BER228" s="18"/>
      <c r="BES228" s="18"/>
      <c r="BET228" s="18"/>
      <c r="BEU228" s="18"/>
      <c r="BEV228" s="18"/>
      <c r="BEW228" s="18"/>
      <c r="BEX228" s="18"/>
      <c r="BEY228" s="18"/>
      <c r="BEZ228" s="18"/>
      <c r="BFA228" s="18"/>
      <c r="BFB228" s="18"/>
      <c r="BFC228" s="18"/>
      <c r="BFD228" s="18"/>
      <c r="BFE228" s="18"/>
      <c r="BFF228" s="18"/>
      <c r="BFG228" s="18"/>
      <c r="BFH228" s="18"/>
      <c r="BFI228" s="18"/>
      <c r="BFJ228" s="18"/>
      <c r="BFK228" s="18"/>
      <c r="BFL228" s="18"/>
      <c r="BFM228" s="18"/>
      <c r="BFN228" s="18"/>
      <c r="BFO228" s="18"/>
      <c r="BFP228" s="18"/>
      <c r="BFQ228" s="18"/>
      <c r="BFR228" s="18"/>
      <c r="BFS228" s="18"/>
      <c r="BFT228" s="18"/>
      <c r="BFU228" s="18"/>
      <c r="BFV228" s="18"/>
      <c r="BFW228" s="18"/>
      <c r="BFX228" s="18"/>
      <c r="BFY228" s="18"/>
      <c r="BFZ228" s="18"/>
      <c r="BGA228" s="18"/>
      <c r="BGB228" s="18"/>
      <c r="BGC228" s="18"/>
      <c r="BGD228" s="18"/>
      <c r="BGE228" s="18"/>
      <c r="BGF228" s="18"/>
      <c r="BGG228" s="18"/>
      <c r="BGH228" s="18"/>
      <c r="BGI228" s="18"/>
      <c r="BGJ228" s="18"/>
      <c r="BGK228" s="18"/>
      <c r="BGL228" s="18"/>
      <c r="BGM228" s="18"/>
      <c r="BGN228" s="18"/>
      <c r="BGO228" s="18"/>
      <c r="BGP228" s="18"/>
      <c r="BGQ228" s="18"/>
      <c r="BGR228" s="18"/>
      <c r="BGS228" s="18"/>
      <c r="BGT228" s="18"/>
      <c r="BGU228" s="18"/>
      <c r="BGV228" s="18"/>
      <c r="BGW228" s="18"/>
      <c r="BGX228" s="18"/>
      <c r="BGY228" s="18"/>
      <c r="BGZ228" s="18"/>
      <c r="BHA228" s="18"/>
      <c r="BHB228" s="18"/>
      <c r="BHC228" s="18"/>
      <c r="BHD228" s="18"/>
      <c r="BHE228" s="18"/>
      <c r="BHF228" s="18"/>
      <c r="BHG228" s="18"/>
      <c r="BHH228" s="18"/>
      <c r="BHI228" s="18"/>
      <c r="BHJ228" s="18"/>
      <c r="BHK228" s="18"/>
      <c r="BHL228" s="18"/>
      <c r="BHM228" s="18"/>
      <c r="BHN228" s="18"/>
      <c r="BHO228" s="18"/>
      <c r="BHP228" s="18"/>
      <c r="BHQ228" s="18"/>
      <c r="BHR228" s="18"/>
      <c r="BHS228" s="18"/>
      <c r="BHT228" s="18"/>
      <c r="BHU228" s="18"/>
      <c r="BHV228" s="18"/>
      <c r="BHW228" s="18"/>
      <c r="BHX228" s="18"/>
      <c r="BHY228" s="18"/>
      <c r="BHZ228" s="18"/>
      <c r="BIA228" s="18"/>
      <c r="BIB228" s="18"/>
      <c r="BIC228" s="18"/>
      <c r="BID228" s="18"/>
      <c r="BIE228" s="18"/>
      <c r="BIF228" s="18"/>
      <c r="BIG228" s="18"/>
      <c r="BIH228" s="18"/>
      <c r="BII228" s="18"/>
      <c r="BIJ228" s="18"/>
      <c r="BIK228" s="18"/>
      <c r="BIL228" s="18"/>
      <c r="BIM228" s="18"/>
      <c r="BIN228" s="18"/>
      <c r="BIO228" s="18"/>
      <c r="BIP228" s="18"/>
      <c r="BIQ228" s="18"/>
      <c r="BIR228" s="18"/>
      <c r="BIS228" s="18"/>
      <c r="BIT228" s="18"/>
      <c r="BIU228" s="18"/>
      <c r="BIV228" s="18"/>
      <c r="BIW228" s="18"/>
      <c r="BIX228" s="18"/>
      <c r="BIY228" s="18"/>
      <c r="BIZ228" s="18"/>
      <c r="BJA228" s="18"/>
      <c r="BJB228" s="18"/>
      <c r="BJC228" s="18"/>
      <c r="BJD228" s="18"/>
      <c r="BJE228" s="18"/>
      <c r="BJF228" s="18"/>
      <c r="BJG228" s="18"/>
      <c r="BJH228" s="18"/>
      <c r="BJI228" s="18"/>
      <c r="BJJ228" s="18"/>
      <c r="BJK228" s="18"/>
      <c r="BJL228" s="18"/>
      <c r="BJM228" s="18"/>
      <c r="BJN228" s="18"/>
      <c r="BJO228" s="18"/>
      <c r="BJP228" s="18"/>
      <c r="BJQ228" s="18"/>
      <c r="BJR228" s="18"/>
      <c r="BJS228" s="18"/>
      <c r="BJT228" s="18"/>
      <c r="BJU228" s="18"/>
      <c r="BJV228" s="18"/>
      <c r="BJW228" s="18"/>
      <c r="BJX228" s="18"/>
      <c r="BJY228" s="18"/>
      <c r="BJZ228" s="18"/>
      <c r="BKA228" s="18"/>
      <c r="BKB228" s="18"/>
      <c r="BKC228" s="18"/>
      <c r="BKD228" s="18"/>
      <c r="BKE228" s="18"/>
      <c r="BKF228" s="18"/>
      <c r="BKG228" s="18"/>
      <c r="BKH228" s="18"/>
      <c r="BKI228" s="18"/>
      <c r="BKJ228" s="18"/>
      <c r="BKK228" s="18"/>
      <c r="BKL228" s="18"/>
      <c r="BKM228" s="18"/>
      <c r="BKN228" s="18"/>
      <c r="BKO228" s="18"/>
      <c r="BKP228" s="18"/>
      <c r="BKQ228" s="18"/>
      <c r="BKR228" s="18"/>
      <c r="BKS228" s="18"/>
      <c r="BKT228" s="18"/>
      <c r="BKU228" s="18"/>
      <c r="BKV228" s="18"/>
      <c r="BKW228" s="18"/>
      <c r="BKX228" s="18"/>
      <c r="BKY228" s="18"/>
      <c r="BKZ228" s="18"/>
      <c r="BLA228" s="18"/>
      <c r="BLB228" s="18"/>
      <c r="BLC228" s="18"/>
      <c r="BLD228" s="18"/>
      <c r="BLE228" s="18"/>
      <c r="BLF228" s="18"/>
      <c r="BLG228" s="18"/>
      <c r="BLH228" s="18"/>
      <c r="BLI228" s="18"/>
      <c r="BLJ228" s="18"/>
      <c r="BLK228" s="18"/>
      <c r="BLL228" s="18"/>
      <c r="BLM228" s="18"/>
      <c r="BLN228" s="18"/>
      <c r="BLO228" s="18"/>
      <c r="BLP228" s="18"/>
      <c r="BLQ228" s="18"/>
      <c r="BLR228" s="18"/>
      <c r="BLS228" s="18"/>
      <c r="BLT228" s="18"/>
      <c r="BLU228" s="18"/>
      <c r="BLV228" s="18"/>
      <c r="BLW228" s="18"/>
      <c r="BLX228" s="18"/>
      <c r="BLY228" s="18"/>
      <c r="BLZ228" s="18"/>
      <c r="BMA228" s="18"/>
      <c r="BMB228" s="18"/>
      <c r="BMC228" s="18"/>
      <c r="BMD228" s="18"/>
      <c r="BME228" s="18"/>
      <c r="BMF228" s="18"/>
      <c r="BMG228" s="18"/>
      <c r="BMH228" s="18"/>
      <c r="BMI228" s="18"/>
      <c r="BMJ228" s="18"/>
      <c r="BMK228" s="18"/>
      <c r="BML228" s="18"/>
      <c r="BMM228" s="18"/>
      <c r="BMN228" s="18"/>
      <c r="BMO228" s="18"/>
      <c r="BMP228" s="18"/>
      <c r="BMQ228" s="18"/>
      <c r="BMR228" s="18"/>
      <c r="BMS228" s="18"/>
      <c r="BMT228" s="18"/>
      <c r="BMU228" s="18"/>
      <c r="BMV228" s="18"/>
      <c r="BMW228" s="18"/>
      <c r="BMX228" s="18"/>
      <c r="BMY228" s="18"/>
      <c r="BMZ228" s="18"/>
      <c r="BNA228" s="18"/>
      <c r="BNB228" s="18"/>
      <c r="BNC228" s="18"/>
      <c r="BND228" s="18"/>
      <c r="BNE228" s="18"/>
      <c r="BNF228" s="18"/>
      <c r="BNG228" s="18"/>
      <c r="BNH228" s="18"/>
      <c r="BNI228" s="18"/>
      <c r="BNJ228" s="18"/>
      <c r="BNK228" s="18"/>
      <c r="BNL228" s="18"/>
      <c r="BNM228" s="18"/>
      <c r="BNN228" s="18"/>
      <c r="BNO228" s="18"/>
      <c r="BNP228" s="18"/>
      <c r="BNQ228" s="18"/>
      <c r="BNR228" s="18"/>
      <c r="BNS228" s="18"/>
      <c r="BNT228" s="18"/>
      <c r="BNU228" s="18"/>
      <c r="BNV228" s="18"/>
      <c r="BNW228" s="18"/>
      <c r="BNX228" s="18"/>
      <c r="BNY228" s="18"/>
      <c r="BNZ228" s="18"/>
      <c r="BOA228" s="18"/>
      <c r="BOB228" s="18"/>
      <c r="BOC228" s="18"/>
      <c r="BOD228" s="18"/>
      <c r="BOE228" s="18"/>
      <c r="BOF228" s="18"/>
      <c r="BOG228" s="18"/>
      <c r="BOH228" s="18"/>
      <c r="BOI228" s="18"/>
      <c r="BOJ228" s="18"/>
      <c r="BOK228" s="18"/>
      <c r="BOL228" s="18"/>
      <c r="BOM228" s="18"/>
      <c r="BON228" s="18"/>
      <c r="BOO228" s="18"/>
      <c r="BOP228" s="18"/>
      <c r="BOQ228" s="18"/>
      <c r="BOR228" s="18"/>
      <c r="BOS228" s="18"/>
      <c r="BOT228" s="18"/>
      <c r="BOU228" s="18"/>
      <c r="BOV228" s="18"/>
      <c r="BOW228" s="18"/>
      <c r="BOX228" s="18"/>
      <c r="BOY228" s="18"/>
      <c r="BOZ228" s="18"/>
      <c r="BPA228" s="18"/>
      <c r="BPB228" s="18"/>
      <c r="BPC228" s="18"/>
      <c r="BPD228" s="18"/>
      <c r="BPE228" s="18"/>
      <c r="BPF228" s="18"/>
      <c r="BPG228" s="18"/>
      <c r="BPH228" s="18"/>
      <c r="BPI228" s="18"/>
      <c r="BPJ228" s="18"/>
      <c r="BPK228" s="18"/>
      <c r="BPL228" s="18"/>
      <c r="BPM228" s="18"/>
      <c r="BPN228" s="18"/>
      <c r="BPO228" s="18"/>
      <c r="BPP228" s="18"/>
      <c r="BPQ228" s="18"/>
      <c r="BPR228" s="18"/>
      <c r="BPS228" s="18"/>
      <c r="BPT228" s="18"/>
      <c r="BPU228" s="18"/>
      <c r="BPV228" s="18"/>
      <c r="BPW228" s="18"/>
      <c r="BPX228" s="18"/>
      <c r="BPY228" s="18"/>
      <c r="BPZ228" s="18"/>
      <c r="BQA228" s="18"/>
      <c r="BQB228" s="18"/>
      <c r="BQC228" s="18"/>
      <c r="BQD228" s="18"/>
      <c r="BQE228" s="18"/>
      <c r="BQF228" s="18"/>
      <c r="BQG228" s="18"/>
      <c r="BQH228" s="18"/>
      <c r="BQI228" s="18"/>
      <c r="BQJ228" s="18"/>
      <c r="BQK228" s="18"/>
      <c r="BQL228" s="18"/>
      <c r="BQM228" s="18"/>
      <c r="BQN228" s="18"/>
      <c r="BQO228" s="18"/>
      <c r="BQP228" s="18"/>
      <c r="BQQ228" s="18"/>
      <c r="BQR228" s="18"/>
      <c r="BQS228" s="18"/>
      <c r="BQT228" s="18"/>
      <c r="BQU228" s="18"/>
      <c r="BQV228" s="18"/>
      <c r="BQW228" s="18"/>
      <c r="BQX228" s="18"/>
      <c r="BQY228" s="18"/>
      <c r="BQZ228" s="18"/>
      <c r="BRA228" s="18"/>
      <c r="BRB228" s="18"/>
      <c r="BRC228" s="18"/>
      <c r="BRD228" s="18"/>
      <c r="BRE228" s="18"/>
      <c r="BRF228" s="18"/>
      <c r="BRG228" s="18"/>
      <c r="BRH228" s="18"/>
      <c r="BRI228" s="18"/>
      <c r="BRJ228" s="18"/>
      <c r="BRK228" s="18"/>
      <c r="BRL228" s="18"/>
      <c r="BRM228" s="18"/>
      <c r="BRN228" s="18"/>
      <c r="BRO228" s="18"/>
      <c r="BRP228" s="18"/>
      <c r="BRQ228" s="18"/>
      <c r="BRR228" s="18"/>
      <c r="BRS228" s="18"/>
      <c r="BRT228" s="18"/>
      <c r="BRU228" s="18"/>
      <c r="BRV228" s="18"/>
      <c r="BRW228" s="18"/>
      <c r="BRX228" s="18"/>
      <c r="BRY228" s="18"/>
      <c r="BRZ228" s="18"/>
      <c r="BSA228" s="18"/>
      <c r="BSB228" s="18"/>
      <c r="BSC228" s="18"/>
      <c r="BSD228" s="18"/>
      <c r="BSE228" s="18"/>
      <c r="BSF228" s="18"/>
      <c r="BSG228" s="18"/>
      <c r="BSH228" s="18"/>
      <c r="BSI228" s="18"/>
      <c r="BSJ228" s="18"/>
      <c r="BSK228" s="18"/>
      <c r="BSL228" s="18"/>
      <c r="BSM228" s="18"/>
      <c r="BSN228" s="18"/>
      <c r="BSO228" s="18"/>
      <c r="BSP228" s="18"/>
      <c r="BSQ228" s="18"/>
      <c r="BSR228" s="18"/>
      <c r="BSS228" s="18"/>
      <c r="BST228" s="18"/>
      <c r="BSU228" s="18"/>
      <c r="BSV228" s="18"/>
      <c r="BSW228" s="18"/>
      <c r="BSX228" s="18"/>
      <c r="BSY228" s="18"/>
      <c r="BSZ228" s="18"/>
      <c r="BTA228" s="18"/>
      <c r="BTB228" s="18"/>
      <c r="BTC228" s="18"/>
      <c r="BTD228" s="18"/>
      <c r="BTE228" s="18"/>
      <c r="BTF228" s="18"/>
      <c r="BTG228" s="18"/>
      <c r="BTH228" s="18"/>
      <c r="BTI228" s="18"/>
    </row>
    <row r="229" spans="1:1881" s="426" customFormat="1" ht="90" customHeight="1" x14ac:dyDescent="0.3">
      <c r="A229" s="100">
        <v>619</v>
      </c>
      <c r="B229" s="373" t="s">
        <v>58</v>
      </c>
      <c r="C229" s="373" t="s">
        <v>347</v>
      </c>
      <c r="D229" s="87" t="s">
        <v>350</v>
      </c>
      <c r="E229" s="371" t="e">
        <f>INDEX('PY1 Data(H)'!$A$1:$CZ$265,MATCH('Unit Data from Audit Worksheet'!$A229,'PY1 Data(H)'!$A$1:$A$258,0),MATCH('Unit Data from Audit Worksheet'!$D$2,'PY1 Data(H)'!$A$1:$CZ$1,0))</f>
        <v>#N/A</v>
      </c>
      <c r="F229" s="795">
        <v>0</v>
      </c>
      <c r="G229" s="430" t="str">
        <f>IF(ISBLANK(F229),"Please do not leave blank ",IF(F229=H229,"","Please review percentage"))</f>
        <v/>
      </c>
      <c r="H229" s="984">
        <f>ROUND(IFERROR((F228/F227)*100,0),1)</f>
        <v>0</v>
      </c>
      <c r="I229" s="324"/>
      <c r="J229" s="186"/>
      <c r="K229"/>
      <c r="L229" s="547"/>
      <c r="M229"/>
      <c r="N229" s="18"/>
      <c r="O229" s="186"/>
      <c r="P229" s="18"/>
      <c r="Q229" s="18"/>
      <c r="R229" s="18"/>
      <c r="S229" s="18"/>
      <c r="T229" s="18"/>
      <c r="U229" s="18"/>
      <c r="V229" s="18"/>
      <c r="W229" s="18"/>
      <c r="X229" s="18"/>
      <c r="Y229" s="18"/>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c r="IS229" s="18"/>
      <c r="IT229" s="18"/>
      <c r="IU229" s="18"/>
      <c r="IV229" s="18"/>
      <c r="IW229" s="18"/>
      <c r="IX229" s="18"/>
      <c r="IY229" s="18"/>
      <c r="IZ229" s="18"/>
      <c r="JA229" s="18"/>
      <c r="JB229" s="18"/>
      <c r="JC229" s="18"/>
      <c r="JD229" s="18"/>
      <c r="JE229" s="18"/>
      <c r="JF229" s="18"/>
      <c r="JG229" s="18"/>
      <c r="JH229" s="18"/>
      <c r="JI229" s="18"/>
      <c r="JJ229" s="18"/>
      <c r="JK229" s="18"/>
      <c r="JL229" s="18"/>
      <c r="JM229" s="18"/>
      <c r="JN229" s="18"/>
      <c r="JO229" s="18"/>
      <c r="JP229" s="18"/>
      <c r="JQ229" s="18"/>
      <c r="JR229" s="18"/>
      <c r="JS229" s="18"/>
      <c r="JT229" s="18"/>
      <c r="JU229" s="18"/>
      <c r="JV229" s="18"/>
      <c r="JW229" s="18"/>
      <c r="JX229" s="18"/>
      <c r="JY229" s="18"/>
      <c r="JZ229" s="18"/>
      <c r="KA229" s="18"/>
      <c r="KB229" s="18"/>
      <c r="KC229" s="18"/>
      <c r="KD229" s="18"/>
      <c r="KE229" s="18"/>
      <c r="KF229" s="18"/>
      <c r="KG229" s="18"/>
      <c r="KH229" s="18"/>
      <c r="KI229" s="18"/>
      <c r="KJ229" s="18"/>
      <c r="KK229" s="18"/>
      <c r="KL229" s="18"/>
      <c r="KM229" s="18"/>
      <c r="KN229" s="18"/>
      <c r="KO229" s="18"/>
      <c r="KP229" s="18"/>
      <c r="KQ229" s="18"/>
      <c r="KR229" s="18"/>
      <c r="KS229" s="18"/>
      <c r="KT229" s="18"/>
      <c r="KU229" s="18"/>
      <c r="KV229" s="18"/>
      <c r="KW229" s="18"/>
      <c r="KX229" s="18"/>
      <c r="KY229" s="18"/>
      <c r="KZ229" s="18"/>
      <c r="LA229" s="18"/>
      <c r="LB229" s="18"/>
      <c r="LC229" s="18"/>
      <c r="LD229" s="18"/>
      <c r="LE229" s="18"/>
      <c r="LF229" s="18"/>
      <c r="LG229" s="18"/>
      <c r="LH229" s="18"/>
      <c r="LI229" s="18"/>
      <c r="LJ229" s="18"/>
      <c r="LK229" s="18"/>
      <c r="LL229" s="18"/>
      <c r="LM229" s="18"/>
      <c r="LN229" s="18"/>
      <c r="LO229" s="18"/>
      <c r="LP229" s="18"/>
      <c r="LQ229" s="18"/>
      <c r="LR229" s="18"/>
      <c r="LS229" s="18"/>
      <c r="LT229" s="18"/>
      <c r="LU229" s="18"/>
      <c r="LV229" s="18"/>
      <c r="LW229" s="18"/>
      <c r="LX229" s="18"/>
      <c r="LY229" s="18"/>
      <c r="LZ229" s="18"/>
      <c r="MA229" s="18"/>
      <c r="MB229" s="18"/>
      <c r="MC229" s="18"/>
      <c r="MD229" s="18"/>
      <c r="ME229" s="18"/>
      <c r="MF229" s="18"/>
      <c r="MG229" s="18"/>
      <c r="MH229" s="18"/>
      <c r="MI229" s="18"/>
      <c r="MJ229" s="18"/>
      <c r="MK229" s="18"/>
      <c r="ML229" s="18"/>
      <c r="MM229" s="18"/>
      <c r="MN229" s="18"/>
      <c r="MO229" s="18"/>
      <c r="MP229" s="18"/>
      <c r="MQ229" s="18"/>
      <c r="MR229" s="18"/>
      <c r="MS229" s="18"/>
      <c r="MT229" s="18"/>
      <c r="MU229" s="18"/>
      <c r="MV229" s="18"/>
      <c r="MW229" s="18"/>
      <c r="MX229" s="18"/>
      <c r="MY229" s="18"/>
      <c r="MZ229" s="18"/>
      <c r="NA229" s="18"/>
      <c r="NB229" s="18"/>
      <c r="NC229" s="18"/>
      <c r="ND229" s="18"/>
      <c r="NE229" s="18"/>
      <c r="NF229" s="18"/>
      <c r="NG229" s="18"/>
      <c r="NH229" s="18"/>
      <c r="NI229" s="18"/>
      <c r="NJ229" s="18"/>
      <c r="NK229" s="18"/>
      <c r="NL229" s="18"/>
      <c r="NM229" s="18"/>
      <c r="NN229" s="18"/>
      <c r="NO229" s="18"/>
      <c r="NP229" s="18"/>
      <c r="NQ229" s="18"/>
      <c r="NR229" s="18"/>
      <c r="NS229" s="18"/>
      <c r="NT229" s="18"/>
      <c r="NU229" s="18"/>
      <c r="NV229" s="18"/>
      <c r="NW229" s="18"/>
      <c r="NX229" s="18"/>
      <c r="NY229" s="18"/>
      <c r="NZ229" s="18"/>
      <c r="OA229" s="18"/>
      <c r="OB229" s="18"/>
      <c r="OC229" s="18"/>
      <c r="OD229" s="18"/>
      <c r="OE229" s="18"/>
      <c r="OF229" s="18"/>
      <c r="OG229" s="18"/>
      <c r="OH229" s="18"/>
      <c r="OI229" s="18"/>
      <c r="OJ229" s="18"/>
      <c r="OK229" s="18"/>
      <c r="OL229" s="18"/>
      <c r="OM229" s="18"/>
      <c r="ON229" s="18"/>
      <c r="OO229" s="18"/>
      <c r="OP229" s="18"/>
      <c r="OQ229" s="18"/>
      <c r="OR229" s="18"/>
      <c r="OS229" s="18"/>
      <c r="OT229" s="18"/>
      <c r="OU229" s="18"/>
      <c r="OV229" s="18"/>
      <c r="OW229" s="18"/>
      <c r="OX229" s="18"/>
      <c r="OY229" s="18"/>
      <c r="OZ229" s="18"/>
      <c r="PA229" s="18"/>
      <c r="PB229" s="18"/>
      <c r="PC229" s="18"/>
      <c r="PD229" s="18"/>
      <c r="PE229" s="18"/>
      <c r="PF229" s="18"/>
      <c r="PG229" s="18"/>
      <c r="PH229" s="18"/>
      <c r="PI229" s="18"/>
      <c r="PJ229" s="18"/>
      <c r="PK229" s="18"/>
      <c r="PL229" s="18"/>
      <c r="PM229" s="18"/>
      <c r="PN229" s="18"/>
      <c r="PO229" s="18"/>
      <c r="PP229" s="18"/>
      <c r="PQ229" s="18"/>
      <c r="PR229" s="18"/>
      <c r="PS229" s="18"/>
      <c r="PT229" s="18"/>
      <c r="PU229" s="18"/>
      <c r="PV229" s="18"/>
      <c r="PW229" s="18"/>
      <c r="PX229" s="18"/>
      <c r="PY229" s="18"/>
      <c r="PZ229" s="18"/>
      <c r="QA229" s="18"/>
      <c r="QB229" s="18"/>
      <c r="QC229" s="18"/>
      <c r="QD229" s="18"/>
      <c r="QE229" s="18"/>
      <c r="QF229" s="18"/>
      <c r="QG229" s="18"/>
      <c r="QH229" s="18"/>
      <c r="QI229" s="18"/>
      <c r="QJ229" s="18"/>
      <c r="QK229" s="18"/>
      <c r="QL229" s="18"/>
      <c r="QM229" s="18"/>
      <c r="QN229" s="18"/>
      <c r="QO229" s="18"/>
      <c r="QP229" s="18"/>
      <c r="QQ229" s="18"/>
      <c r="QR229" s="18"/>
      <c r="QS229" s="18"/>
      <c r="QT229" s="18"/>
      <c r="QU229" s="18"/>
      <c r="QV229" s="18"/>
      <c r="QW229" s="18"/>
      <c r="QX229" s="18"/>
      <c r="QY229" s="18"/>
      <c r="QZ229" s="18"/>
      <c r="RA229" s="18"/>
      <c r="RB229" s="18"/>
      <c r="RC229" s="18"/>
      <c r="RD229" s="18"/>
      <c r="RE229" s="18"/>
      <c r="RF229" s="18"/>
      <c r="RG229" s="18"/>
      <c r="RH229" s="18"/>
      <c r="RI229" s="18"/>
      <c r="RJ229" s="18"/>
      <c r="RK229" s="18"/>
      <c r="RL229" s="18"/>
      <c r="RM229" s="18"/>
      <c r="RN229" s="18"/>
      <c r="RO229" s="18"/>
      <c r="RP229" s="18"/>
      <c r="RQ229" s="18"/>
      <c r="RR229" s="18"/>
      <c r="RS229" s="18"/>
      <c r="RT229" s="18"/>
      <c r="RU229" s="18"/>
      <c r="RV229" s="18"/>
      <c r="RW229" s="18"/>
      <c r="RX229" s="18"/>
      <c r="RY229" s="18"/>
      <c r="RZ229" s="18"/>
      <c r="SA229" s="18"/>
      <c r="SB229" s="18"/>
      <c r="SC229" s="18"/>
      <c r="SD229" s="18"/>
      <c r="SE229" s="18"/>
      <c r="SF229" s="18"/>
      <c r="SG229" s="18"/>
      <c r="SH229" s="18"/>
      <c r="SI229" s="18"/>
      <c r="SJ229" s="18"/>
      <c r="SK229" s="18"/>
      <c r="SL229" s="18"/>
      <c r="SM229" s="18"/>
      <c r="SN229" s="18"/>
      <c r="SO229" s="18"/>
      <c r="SP229" s="18"/>
      <c r="SQ229" s="18"/>
      <c r="SR229" s="18"/>
      <c r="SS229" s="18"/>
      <c r="ST229" s="18"/>
      <c r="SU229" s="18"/>
      <c r="SV229" s="18"/>
      <c r="SW229" s="18"/>
      <c r="SX229" s="18"/>
      <c r="SY229" s="18"/>
      <c r="SZ229" s="18"/>
      <c r="TA229" s="18"/>
      <c r="TB229" s="18"/>
      <c r="TC229" s="18"/>
      <c r="TD229" s="18"/>
      <c r="TE229" s="18"/>
      <c r="TF229" s="18"/>
      <c r="TG229" s="18"/>
      <c r="TH229" s="18"/>
      <c r="TI229" s="18"/>
      <c r="TJ229" s="18"/>
      <c r="TK229" s="18"/>
      <c r="TL229" s="18"/>
      <c r="TM229" s="18"/>
      <c r="TN229" s="18"/>
      <c r="TO229" s="18"/>
      <c r="TP229" s="18"/>
      <c r="TQ229" s="18"/>
      <c r="TR229" s="18"/>
      <c r="TS229" s="18"/>
      <c r="TT229" s="18"/>
      <c r="TU229" s="18"/>
      <c r="TV229" s="18"/>
      <c r="TW229" s="18"/>
      <c r="TX229" s="18"/>
      <c r="TY229" s="18"/>
      <c r="TZ229" s="18"/>
      <c r="UA229" s="18"/>
      <c r="UB229" s="18"/>
      <c r="UC229" s="18"/>
      <c r="UD229" s="18"/>
      <c r="UE229" s="18"/>
      <c r="UF229" s="18"/>
      <c r="UG229" s="18"/>
      <c r="UH229" s="18"/>
      <c r="UI229" s="18"/>
      <c r="UJ229" s="18"/>
      <c r="UK229" s="18"/>
      <c r="UL229" s="18"/>
      <c r="UM229" s="18"/>
      <c r="UN229" s="18"/>
      <c r="UO229" s="18"/>
      <c r="UP229" s="18"/>
      <c r="UQ229" s="18"/>
      <c r="UR229" s="18"/>
      <c r="US229" s="18"/>
      <c r="UT229" s="18"/>
      <c r="UU229" s="18"/>
      <c r="UV229" s="18"/>
      <c r="UW229" s="18"/>
      <c r="UX229" s="18"/>
      <c r="UY229" s="18"/>
      <c r="UZ229" s="18"/>
      <c r="VA229" s="18"/>
      <c r="VB229" s="18"/>
      <c r="VC229" s="18"/>
      <c r="VD229" s="18"/>
      <c r="VE229" s="18"/>
      <c r="VF229" s="18"/>
      <c r="VG229" s="18"/>
      <c r="VH229" s="18"/>
      <c r="VI229" s="18"/>
      <c r="VJ229" s="18"/>
      <c r="VK229" s="18"/>
      <c r="VL229" s="18"/>
      <c r="VM229" s="18"/>
      <c r="VN229" s="18"/>
      <c r="VO229" s="18"/>
      <c r="VP229" s="18"/>
      <c r="VQ229" s="18"/>
      <c r="VR229" s="18"/>
      <c r="VS229" s="18"/>
      <c r="VT229" s="18"/>
      <c r="VU229" s="18"/>
      <c r="VV229" s="18"/>
      <c r="VW229" s="18"/>
      <c r="VX229" s="18"/>
      <c r="VY229" s="18"/>
      <c r="VZ229" s="18"/>
      <c r="WA229" s="18"/>
      <c r="WB229" s="18"/>
      <c r="WC229" s="18"/>
      <c r="WD229" s="18"/>
      <c r="WE229" s="18"/>
      <c r="WF229" s="18"/>
      <c r="WG229" s="18"/>
      <c r="WH229" s="18"/>
      <c r="WI229" s="18"/>
      <c r="WJ229" s="18"/>
      <c r="WK229" s="18"/>
      <c r="WL229" s="18"/>
      <c r="WM229" s="18"/>
      <c r="WN229" s="18"/>
      <c r="WO229" s="18"/>
      <c r="WP229" s="18"/>
      <c r="WQ229" s="18"/>
      <c r="WR229" s="18"/>
      <c r="WS229" s="18"/>
      <c r="WT229" s="18"/>
      <c r="WU229" s="18"/>
      <c r="WV229" s="18"/>
      <c r="WW229" s="18"/>
      <c r="WX229" s="18"/>
      <c r="WY229" s="18"/>
      <c r="WZ229" s="18"/>
      <c r="XA229" s="18"/>
      <c r="XB229" s="18"/>
      <c r="XC229" s="18"/>
      <c r="XD229" s="18"/>
      <c r="XE229" s="18"/>
      <c r="XF229" s="18"/>
      <c r="XG229" s="18"/>
      <c r="XH229" s="18"/>
      <c r="XI229" s="18"/>
      <c r="XJ229" s="18"/>
      <c r="XK229" s="18"/>
      <c r="XL229" s="18"/>
      <c r="XM229" s="18"/>
      <c r="XN229" s="18"/>
      <c r="XO229" s="18"/>
      <c r="XP229" s="18"/>
      <c r="XQ229" s="18"/>
      <c r="XR229" s="18"/>
      <c r="XS229" s="18"/>
      <c r="XT229" s="18"/>
      <c r="XU229" s="18"/>
      <c r="XV229" s="18"/>
      <c r="XW229" s="18"/>
      <c r="XX229" s="18"/>
      <c r="XY229" s="18"/>
      <c r="XZ229" s="18"/>
      <c r="YA229" s="18"/>
      <c r="YB229" s="18"/>
      <c r="YC229" s="18"/>
      <c r="YD229" s="18"/>
      <c r="YE229" s="18"/>
      <c r="YF229" s="18"/>
      <c r="YG229" s="18"/>
      <c r="YH229" s="18"/>
      <c r="YI229" s="18"/>
      <c r="YJ229" s="18"/>
      <c r="YK229" s="18"/>
      <c r="YL229" s="18"/>
      <c r="YM229" s="18"/>
      <c r="YN229" s="18"/>
      <c r="YO229" s="18"/>
      <c r="YP229" s="18"/>
      <c r="YQ229" s="18"/>
      <c r="YR229" s="18"/>
      <c r="YS229" s="18"/>
      <c r="YT229" s="18"/>
      <c r="YU229" s="18"/>
      <c r="YV229" s="18"/>
      <c r="YW229" s="18"/>
      <c r="YX229" s="18"/>
      <c r="YY229" s="18"/>
      <c r="YZ229" s="18"/>
      <c r="ZA229" s="18"/>
      <c r="ZB229" s="18"/>
      <c r="ZC229" s="18"/>
      <c r="ZD229" s="18"/>
      <c r="ZE229" s="18"/>
      <c r="ZF229" s="18"/>
      <c r="ZG229" s="18"/>
      <c r="ZH229" s="18"/>
      <c r="ZI229" s="18"/>
      <c r="ZJ229" s="18"/>
      <c r="ZK229" s="18"/>
      <c r="ZL229" s="18"/>
      <c r="ZM229" s="18"/>
      <c r="ZN229" s="18"/>
      <c r="ZO229" s="18"/>
      <c r="ZP229" s="18"/>
      <c r="ZQ229" s="18"/>
      <c r="ZR229" s="18"/>
      <c r="ZS229" s="18"/>
      <c r="ZT229" s="18"/>
      <c r="ZU229" s="18"/>
      <c r="ZV229" s="18"/>
      <c r="ZW229" s="18"/>
      <c r="ZX229" s="18"/>
      <c r="ZY229" s="18"/>
      <c r="ZZ229" s="18"/>
      <c r="AAA229" s="18"/>
      <c r="AAB229" s="18"/>
      <c r="AAC229" s="18"/>
      <c r="AAD229" s="18"/>
      <c r="AAE229" s="18"/>
      <c r="AAF229" s="18"/>
      <c r="AAG229" s="18"/>
      <c r="AAH229" s="18"/>
      <c r="AAI229" s="18"/>
      <c r="AAJ229" s="18"/>
      <c r="AAK229" s="18"/>
      <c r="AAL229" s="18"/>
      <c r="AAM229" s="18"/>
      <c r="AAN229" s="18"/>
      <c r="AAO229" s="18"/>
      <c r="AAP229" s="18"/>
      <c r="AAQ229" s="18"/>
      <c r="AAR229" s="18"/>
      <c r="AAS229" s="18"/>
      <c r="AAT229" s="18"/>
      <c r="AAU229" s="18"/>
      <c r="AAV229" s="18"/>
      <c r="AAW229" s="18"/>
      <c r="AAX229" s="18"/>
      <c r="AAY229" s="18"/>
      <c r="AAZ229" s="18"/>
      <c r="ABA229" s="18"/>
      <c r="ABB229" s="18"/>
      <c r="ABC229" s="18"/>
      <c r="ABD229" s="18"/>
      <c r="ABE229" s="18"/>
      <c r="ABF229" s="18"/>
      <c r="ABG229" s="18"/>
      <c r="ABH229" s="18"/>
      <c r="ABI229" s="18"/>
      <c r="ABJ229" s="18"/>
      <c r="ABK229" s="18"/>
      <c r="ABL229" s="18"/>
      <c r="ABM229" s="18"/>
      <c r="ABN229" s="18"/>
      <c r="ABO229" s="18"/>
      <c r="ABP229" s="18"/>
      <c r="ABQ229" s="18"/>
      <c r="ABR229" s="18"/>
      <c r="ABS229" s="18"/>
      <c r="ABT229" s="18"/>
      <c r="ABU229" s="18"/>
      <c r="ABV229" s="18"/>
      <c r="ABW229" s="18"/>
      <c r="ABX229" s="18"/>
      <c r="ABY229" s="18"/>
      <c r="ABZ229" s="18"/>
      <c r="ACA229" s="18"/>
      <c r="ACB229" s="18"/>
      <c r="ACC229" s="18"/>
      <c r="ACD229" s="18"/>
      <c r="ACE229" s="18"/>
      <c r="ACF229" s="18"/>
      <c r="ACG229" s="18"/>
      <c r="ACH229" s="18"/>
      <c r="ACI229" s="18"/>
      <c r="ACJ229" s="18"/>
      <c r="ACK229" s="18"/>
      <c r="ACL229" s="18"/>
      <c r="ACM229" s="18"/>
      <c r="ACN229" s="18"/>
      <c r="ACO229" s="18"/>
      <c r="ACP229" s="18"/>
      <c r="ACQ229" s="18"/>
      <c r="ACR229" s="18"/>
      <c r="ACS229" s="18"/>
      <c r="ACT229" s="18"/>
      <c r="ACU229" s="18"/>
      <c r="ACV229" s="18"/>
      <c r="ACW229" s="18"/>
      <c r="ACX229" s="18"/>
      <c r="ACY229" s="18"/>
      <c r="ACZ229" s="18"/>
      <c r="ADA229" s="18"/>
      <c r="ADB229" s="18"/>
      <c r="ADC229" s="18"/>
      <c r="ADD229" s="18"/>
      <c r="ADE229" s="18"/>
      <c r="ADF229" s="18"/>
      <c r="ADG229" s="18"/>
      <c r="ADH229" s="18"/>
      <c r="ADI229" s="18"/>
      <c r="ADJ229" s="18"/>
      <c r="ADK229" s="18"/>
      <c r="ADL229" s="18"/>
      <c r="ADM229" s="18"/>
      <c r="ADN229" s="18"/>
      <c r="ADO229" s="18"/>
      <c r="ADP229" s="18"/>
      <c r="ADQ229" s="18"/>
      <c r="ADR229" s="18"/>
      <c r="ADS229" s="18"/>
      <c r="ADT229" s="18"/>
      <c r="ADU229" s="18"/>
      <c r="ADV229" s="18"/>
      <c r="ADW229" s="18"/>
      <c r="ADX229" s="18"/>
      <c r="ADY229" s="18"/>
      <c r="ADZ229" s="18"/>
      <c r="AEA229" s="18"/>
      <c r="AEB229" s="18"/>
      <c r="AEC229" s="18"/>
      <c r="AED229" s="18"/>
      <c r="AEE229" s="18"/>
      <c r="AEF229" s="18"/>
      <c r="AEG229" s="18"/>
      <c r="AEH229" s="18"/>
      <c r="AEI229" s="18"/>
      <c r="AEJ229" s="18"/>
      <c r="AEK229" s="18"/>
      <c r="AEL229" s="18"/>
      <c r="AEM229" s="18"/>
      <c r="AEN229" s="18"/>
      <c r="AEO229" s="18"/>
      <c r="AEP229" s="18"/>
      <c r="AEQ229" s="18"/>
      <c r="AER229" s="18"/>
      <c r="AES229" s="18"/>
      <c r="AET229" s="18"/>
      <c r="AEU229" s="18"/>
      <c r="AEV229" s="18"/>
      <c r="AEW229" s="18"/>
      <c r="AEX229" s="18"/>
      <c r="AEY229" s="18"/>
      <c r="AEZ229" s="18"/>
      <c r="AFA229" s="18"/>
      <c r="AFB229" s="18"/>
      <c r="AFC229" s="18"/>
      <c r="AFD229" s="18"/>
      <c r="AFE229" s="18"/>
      <c r="AFF229" s="18"/>
      <c r="AFG229" s="18"/>
      <c r="AFH229" s="18"/>
      <c r="AFI229" s="18"/>
      <c r="AFJ229" s="18"/>
      <c r="AFK229" s="18"/>
      <c r="AFL229" s="18"/>
      <c r="AFM229" s="18"/>
      <c r="AFN229" s="18"/>
      <c r="AFO229" s="18"/>
      <c r="AFP229" s="18"/>
      <c r="AFQ229" s="18"/>
      <c r="AFR229" s="18"/>
      <c r="AFS229" s="18"/>
      <c r="AFT229" s="18"/>
      <c r="AFU229" s="18"/>
      <c r="AFV229" s="18"/>
      <c r="AFW229" s="18"/>
      <c r="AFX229" s="18"/>
      <c r="AFY229" s="18"/>
      <c r="AFZ229" s="18"/>
      <c r="AGA229" s="18"/>
      <c r="AGB229" s="18"/>
      <c r="AGC229" s="18"/>
      <c r="AGD229" s="18"/>
      <c r="AGE229" s="18"/>
      <c r="AGF229" s="18"/>
      <c r="AGG229" s="18"/>
      <c r="AGH229" s="18"/>
      <c r="AGI229" s="18"/>
      <c r="AGJ229" s="18"/>
      <c r="AGK229" s="18"/>
      <c r="AGL229" s="18"/>
      <c r="AGM229" s="18"/>
      <c r="AGN229" s="18"/>
      <c r="AGO229" s="18"/>
      <c r="AGP229" s="18"/>
      <c r="AGQ229" s="18"/>
      <c r="AGR229" s="18"/>
      <c r="AGS229" s="18"/>
      <c r="AGT229" s="18"/>
      <c r="AGU229" s="18"/>
      <c r="AGV229" s="18"/>
      <c r="AGW229" s="18"/>
      <c r="AGX229" s="18"/>
      <c r="AGY229" s="18"/>
      <c r="AGZ229" s="18"/>
      <c r="AHA229" s="18"/>
      <c r="AHB229" s="18"/>
      <c r="AHC229" s="18"/>
      <c r="AHD229" s="18"/>
      <c r="AHE229" s="18"/>
      <c r="AHF229" s="18"/>
      <c r="AHG229" s="18"/>
      <c r="AHH229" s="18"/>
      <c r="AHI229" s="18"/>
      <c r="AHJ229" s="18"/>
      <c r="AHK229" s="18"/>
      <c r="AHL229" s="18"/>
      <c r="AHM229" s="18"/>
      <c r="AHN229" s="18"/>
      <c r="AHO229" s="18"/>
      <c r="AHP229" s="18"/>
      <c r="AHQ229" s="18"/>
      <c r="AHR229" s="18"/>
      <c r="AHS229" s="18"/>
      <c r="AHT229" s="18"/>
      <c r="AHU229" s="18"/>
      <c r="AHV229" s="18"/>
      <c r="AHW229" s="18"/>
      <c r="AHX229" s="18"/>
      <c r="AHY229" s="18"/>
      <c r="AHZ229" s="18"/>
      <c r="AIA229" s="18"/>
      <c r="AIB229" s="18"/>
      <c r="AIC229" s="18"/>
      <c r="AID229" s="18"/>
      <c r="AIE229" s="18"/>
      <c r="AIF229" s="18"/>
      <c r="AIG229" s="18"/>
      <c r="AIH229" s="18"/>
      <c r="AII229" s="18"/>
      <c r="AIJ229" s="18"/>
      <c r="AIK229" s="18"/>
      <c r="AIL229" s="18"/>
      <c r="AIM229" s="18"/>
      <c r="AIN229" s="18"/>
      <c r="AIO229" s="18"/>
      <c r="AIP229" s="18"/>
      <c r="AIQ229" s="18"/>
      <c r="AIR229" s="18"/>
      <c r="AIS229" s="18"/>
      <c r="AIT229" s="18"/>
      <c r="AIU229" s="18"/>
      <c r="AIV229" s="18"/>
      <c r="AIW229" s="18"/>
      <c r="AIX229" s="18"/>
      <c r="AIY229" s="18"/>
      <c r="AIZ229" s="18"/>
      <c r="AJA229" s="18"/>
      <c r="AJB229" s="18"/>
      <c r="AJC229" s="18"/>
      <c r="AJD229" s="18"/>
      <c r="AJE229" s="18"/>
      <c r="AJF229" s="18"/>
      <c r="AJG229" s="18"/>
      <c r="AJH229" s="18"/>
      <c r="AJI229" s="18"/>
      <c r="AJJ229" s="18"/>
      <c r="AJK229" s="18"/>
      <c r="AJL229" s="18"/>
      <c r="AJM229" s="18"/>
      <c r="AJN229" s="18"/>
      <c r="AJO229" s="18"/>
      <c r="AJP229" s="18"/>
      <c r="AJQ229" s="18"/>
      <c r="AJR229" s="18"/>
      <c r="AJS229" s="18"/>
      <c r="AJT229" s="18"/>
      <c r="AJU229" s="18"/>
      <c r="AJV229" s="18"/>
      <c r="AJW229" s="18"/>
      <c r="AJX229" s="18"/>
      <c r="AJY229" s="18"/>
      <c r="AJZ229" s="18"/>
      <c r="AKA229" s="18"/>
      <c r="AKB229" s="18"/>
      <c r="AKC229" s="18"/>
      <c r="AKD229" s="18"/>
      <c r="AKE229" s="18"/>
      <c r="AKF229" s="18"/>
      <c r="AKG229" s="18"/>
      <c r="AKH229" s="18"/>
      <c r="AKI229" s="18"/>
      <c r="AKJ229" s="18"/>
      <c r="AKK229" s="18"/>
      <c r="AKL229" s="18"/>
      <c r="AKM229" s="18"/>
      <c r="AKN229" s="18"/>
      <c r="AKO229" s="18"/>
      <c r="AKP229" s="18"/>
      <c r="AKQ229" s="18"/>
      <c r="AKR229" s="18"/>
      <c r="AKS229" s="18"/>
      <c r="AKT229" s="18"/>
      <c r="AKU229" s="18"/>
      <c r="AKV229" s="18"/>
      <c r="AKW229" s="18"/>
      <c r="AKX229" s="18"/>
      <c r="AKY229" s="18"/>
      <c r="AKZ229" s="18"/>
      <c r="ALA229" s="18"/>
      <c r="ALB229" s="18"/>
      <c r="ALC229" s="18"/>
      <c r="ALD229" s="18"/>
      <c r="ALE229" s="18"/>
      <c r="ALF229" s="18"/>
      <c r="ALG229" s="18"/>
      <c r="ALH229" s="18"/>
      <c r="ALI229" s="18"/>
      <c r="ALJ229" s="18"/>
      <c r="ALK229" s="18"/>
      <c r="ALL229" s="18"/>
      <c r="ALM229" s="18"/>
      <c r="ALN229" s="18"/>
      <c r="ALO229" s="18"/>
      <c r="ALP229" s="18"/>
      <c r="ALQ229" s="18"/>
      <c r="ALR229" s="18"/>
      <c r="ALS229" s="18"/>
      <c r="ALT229" s="18"/>
      <c r="ALU229" s="18"/>
      <c r="ALV229" s="18"/>
      <c r="ALW229" s="18"/>
      <c r="ALX229" s="18"/>
      <c r="ALY229" s="18"/>
      <c r="ALZ229" s="18"/>
      <c r="AMA229" s="18"/>
      <c r="AMB229" s="18"/>
      <c r="AMC229" s="18"/>
      <c r="AMD229" s="18"/>
      <c r="AME229" s="18"/>
      <c r="AMF229" s="18"/>
      <c r="AMG229" s="18"/>
      <c r="AMH229" s="18"/>
      <c r="AMI229" s="18"/>
      <c r="AMJ229" s="18"/>
      <c r="AMK229" s="18"/>
      <c r="AML229" s="18"/>
      <c r="AMM229" s="18"/>
      <c r="AMN229" s="18"/>
      <c r="AMO229" s="18"/>
      <c r="AMP229" s="18"/>
      <c r="AMQ229" s="18"/>
      <c r="AMR229" s="18"/>
      <c r="AMS229" s="18"/>
      <c r="AMT229" s="18"/>
      <c r="AMU229" s="18"/>
      <c r="AMV229" s="18"/>
      <c r="AMW229" s="18"/>
      <c r="AMX229" s="18"/>
      <c r="AMY229" s="18"/>
      <c r="AMZ229" s="18"/>
      <c r="ANA229" s="18"/>
      <c r="ANB229" s="18"/>
      <c r="ANC229" s="18"/>
      <c r="AND229" s="18"/>
      <c r="ANE229" s="18"/>
      <c r="ANF229" s="18"/>
      <c r="ANG229" s="18"/>
      <c r="ANH229" s="18"/>
      <c r="ANI229" s="18"/>
      <c r="ANJ229" s="18"/>
      <c r="ANK229" s="18"/>
      <c r="ANL229" s="18"/>
      <c r="ANM229" s="18"/>
      <c r="ANN229" s="18"/>
      <c r="ANO229" s="18"/>
      <c r="ANP229" s="18"/>
      <c r="ANQ229" s="18"/>
      <c r="ANR229" s="18"/>
      <c r="ANS229" s="18"/>
      <c r="ANT229" s="18"/>
      <c r="ANU229" s="18"/>
      <c r="ANV229" s="18"/>
      <c r="ANW229" s="18"/>
      <c r="ANX229" s="18"/>
      <c r="ANY229" s="18"/>
      <c r="ANZ229" s="18"/>
      <c r="AOA229" s="18"/>
      <c r="AOB229" s="18"/>
      <c r="AOC229" s="18"/>
      <c r="AOD229" s="18"/>
      <c r="AOE229" s="18"/>
      <c r="AOF229" s="18"/>
      <c r="AOG229" s="18"/>
      <c r="AOH229" s="18"/>
      <c r="AOI229" s="18"/>
      <c r="AOJ229" s="18"/>
      <c r="AOK229" s="18"/>
      <c r="AOL229" s="18"/>
      <c r="AOM229" s="18"/>
      <c r="AON229" s="18"/>
      <c r="AOO229" s="18"/>
      <c r="AOP229" s="18"/>
      <c r="AOQ229" s="18"/>
      <c r="AOR229" s="18"/>
      <c r="AOS229" s="18"/>
      <c r="AOT229" s="18"/>
      <c r="AOU229" s="18"/>
      <c r="AOV229" s="18"/>
      <c r="AOW229" s="18"/>
      <c r="AOX229" s="18"/>
      <c r="AOY229" s="18"/>
      <c r="AOZ229" s="18"/>
      <c r="APA229" s="18"/>
      <c r="APB229" s="18"/>
      <c r="APC229" s="18"/>
      <c r="APD229" s="18"/>
      <c r="APE229" s="18"/>
      <c r="APF229" s="18"/>
      <c r="APG229" s="18"/>
      <c r="APH229" s="18"/>
      <c r="API229" s="18"/>
      <c r="APJ229" s="18"/>
      <c r="APK229" s="18"/>
      <c r="APL229" s="18"/>
      <c r="APM229" s="18"/>
      <c r="APN229" s="18"/>
      <c r="APO229" s="18"/>
      <c r="APP229" s="18"/>
      <c r="APQ229" s="18"/>
      <c r="APR229" s="18"/>
      <c r="APS229" s="18"/>
      <c r="APT229" s="18"/>
      <c r="APU229" s="18"/>
      <c r="APV229" s="18"/>
      <c r="APW229" s="18"/>
      <c r="APX229" s="18"/>
      <c r="APY229" s="18"/>
      <c r="APZ229" s="18"/>
      <c r="AQA229" s="18"/>
      <c r="AQB229" s="18"/>
      <c r="AQC229" s="18"/>
      <c r="AQD229" s="18"/>
      <c r="AQE229" s="18"/>
      <c r="AQF229" s="18"/>
      <c r="AQG229" s="18"/>
      <c r="AQH229" s="18"/>
      <c r="AQI229" s="18"/>
      <c r="AQJ229" s="18"/>
      <c r="AQK229" s="18"/>
      <c r="AQL229" s="18"/>
      <c r="AQM229" s="18"/>
      <c r="AQN229" s="18"/>
      <c r="AQO229" s="18"/>
      <c r="AQP229" s="18"/>
      <c r="AQQ229" s="18"/>
      <c r="AQR229" s="18"/>
      <c r="AQS229" s="18"/>
      <c r="AQT229" s="18"/>
      <c r="AQU229" s="18"/>
      <c r="AQV229" s="18"/>
      <c r="AQW229" s="18"/>
      <c r="AQX229" s="18"/>
      <c r="AQY229" s="18"/>
      <c r="AQZ229" s="18"/>
      <c r="ARA229" s="18"/>
      <c r="ARB229" s="18"/>
      <c r="ARC229" s="18"/>
      <c r="ARD229" s="18"/>
      <c r="ARE229" s="18"/>
      <c r="ARF229" s="18"/>
      <c r="ARG229" s="18"/>
      <c r="ARH229" s="18"/>
      <c r="ARI229" s="18"/>
      <c r="ARJ229" s="18"/>
      <c r="ARK229" s="18"/>
      <c r="ARL229" s="18"/>
      <c r="ARM229" s="18"/>
      <c r="ARN229" s="18"/>
      <c r="ARO229" s="18"/>
      <c r="ARP229" s="18"/>
      <c r="ARQ229" s="18"/>
      <c r="ARR229" s="18"/>
      <c r="ARS229" s="18"/>
      <c r="ART229" s="18"/>
      <c r="ARU229" s="18"/>
      <c r="ARV229" s="18"/>
      <c r="ARW229" s="18"/>
      <c r="ARX229" s="18"/>
      <c r="ARY229" s="18"/>
      <c r="ARZ229" s="18"/>
      <c r="ASA229" s="18"/>
      <c r="ASB229" s="18"/>
      <c r="ASC229" s="18"/>
      <c r="ASD229" s="18"/>
      <c r="ASE229" s="18"/>
      <c r="ASF229" s="18"/>
      <c r="ASG229" s="18"/>
      <c r="ASH229" s="18"/>
      <c r="ASI229" s="18"/>
      <c r="ASJ229" s="18"/>
      <c r="ASK229" s="18"/>
      <c r="ASL229" s="18"/>
      <c r="ASM229" s="18"/>
      <c r="ASN229" s="18"/>
      <c r="ASO229" s="18"/>
      <c r="ASP229" s="18"/>
      <c r="ASQ229" s="18"/>
      <c r="ASR229" s="18"/>
      <c r="ASS229" s="18"/>
      <c r="AST229" s="18"/>
      <c r="ASU229" s="18"/>
      <c r="ASV229" s="18"/>
      <c r="ASW229" s="18"/>
      <c r="ASX229" s="18"/>
      <c r="ASY229" s="18"/>
      <c r="ASZ229" s="18"/>
      <c r="ATA229" s="18"/>
      <c r="ATB229" s="18"/>
      <c r="ATC229" s="18"/>
      <c r="ATD229" s="18"/>
      <c r="ATE229" s="18"/>
      <c r="ATF229" s="18"/>
      <c r="ATG229" s="18"/>
      <c r="ATH229" s="18"/>
      <c r="ATI229" s="18"/>
      <c r="ATJ229" s="18"/>
      <c r="ATK229" s="18"/>
      <c r="ATL229" s="18"/>
      <c r="ATM229" s="18"/>
      <c r="ATN229" s="18"/>
      <c r="ATO229" s="18"/>
      <c r="ATP229" s="18"/>
      <c r="ATQ229" s="18"/>
      <c r="ATR229" s="18"/>
      <c r="ATS229" s="18"/>
      <c r="ATT229" s="18"/>
      <c r="ATU229" s="18"/>
      <c r="ATV229" s="18"/>
      <c r="ATW229" s="18"/>
      <c r="ATX229" s="18"/>
      <c r="ATY229" s="18"/>
      <c r="ATZ229" s="18"/>
      <c r="AUA229" s="18"/>
      <c r="AUB229" s="18"/>
      <c r="AUC229" s="18"/>
      <c r="AUD229" s="18"/>
      <c r="AUE229" s="18"/>
      <c r="AUF229" s="18"/>
      <c r="AUG229" s="18"/>
      <c r="AUH229" s="18"/>
      <c r="AUI229" s="18"/>
      <c r="AUJ229" s="18"/>
      <c r="AUK229" s="18"/>
      <c r="AUL229" s="18"/>
      <c r="AUM229" s="18"/>
      <c r="AUN229" s="18"/>
      <c r="AUO229" s="18"/>
      <c r="AUP229" s="18"/>
      <c r="AUQ229" s="18"/>
      <c r="AUR229" s="18"/>
      <c r="AUS229" s="18"/>
      <c r="AUT229" s="18"/>
      <c r="AUU229" s="18"/>
      <c r="AUV229" s="18"/>
      <c r="AUW229" s="18"/>
      <c r="AUX229" s="18"/>
      <c r="AUY229" s="18"/>
      <c r="AUZ229" s="18"/>
      <c r="AVA229" s="18"/>
      <c r="AVB229" s="18"/>
      <c r="AVC229" s="18"/>
      <c r="AVD229" s="18"/>
      <c r="AVE229" s="18"/>
      <c r="AVF229" s="18"/>
      <c r="AVG229" s="18"/>
      <c r="AVH229" s="18"/>
      <c r="AVI229" s="18"/>
      <c r="AVJ229" s="18"/>
      <c r="AVK229" s="18"/>
      <c r="AVL229" s="18"/>
      <c r="AVM229" s="18"/>
      <c r="AVN229" s="18"/>
      <c r="AVO229" s="18"/>
      <c r="AVP229" s="18"/>
      <c r="AVQ229" s="18"/>
      <c r="AVR229" s="18"/>
      <c r="AVS229" s="18"/>
      <c r="AVT229" s="18"/>
      <c r="AVU229" s="18"/>
      <c r="AVV229" s="18"/>
      <c r="AVW229" s="18"/>
      <c r="AVX229" s="18"/>
      <c r="AVY229" s="18"/>
      <c r="AVZ229" s="18"/>
      <c r="AWA229" s="18"/>
      <c r="AWB229" s="18"/>
      <c r="AWC229" s="18"/>
      <c r="AWD229" s="18"/>
      <c r="AWE229" s="18"/>
      <c r="AWF229" s="18"/>
      <c r="AWG229" s="18"/>
      <c r="AWH229" s="18"/>
      <c r="AWI229" s="18"/>
      <c r="AWJ229" s="18"/>
      <c r="AWK229" s="18"/>
      <c r="AWL229" s="18"/>
      <c r="AWM229" s="18"/>
      <c r="AWN229" s="18"/>
      <c r="AWO229" s="18"/>
      <c r="AWP229" s="18"/>
      <c r="AWQ229" s="18"/>
      <c r="AWR229" s="18"/>
      <c r="AWS229" s="18"/>
      <c r="AWT229" s="18"/>
      <c r="AWU229" s="18"/>
      <c r="AWV229" s="18"/>
      <c r="AWW229" s="18"/>
      <c r="AWX229" s="18"/>
      <c r="AWY229" s="18"/>
      <c r="AWZ229" s="18"/>
      <c r="AXA229" s="18"/>
      <c r="AXB229" s="18"/>
      <c r="AXC229" s="18"/>
      <c r="AXD229" s="18"/>
      <c r="AXE229" s="18"/>
      <c r="AXF229" s="18"/>
      <c r="AXG229" s="18"/>
      <c r="AXH229" s="18"/>
      <c r="AXI229" s="18"/>
      <c r="AXJ229" s="18"/>
      <c r="AXK229" s="18"/>
      <c r="AXL229" s="18"/>
      <c r="AXM229" s="18"/>
      <c r="AXN229" s="18"/>
      <c r="AXO229" s="18"/>
      <c r="AXP229" s="18"/>
      <c r="AXQ229" s="18"/>
      <c r="AXR229" s="18"/>
      <c r="AXS229" s="18"/>
      <c r="AXT229" s="18"/>
      <c r="AXU229" s="18"/>
      <c r="AXV229" s="18"/>
      <c r="AXW229" s="18"/>
      <c r="AXX229" s="18"/>
      <c r="AXY229" s="18"/>
      <c r="AXZ229" s="18"/>
      <c r="AYA229" s="18"/>
      <c r="AYB229" s="18"/>
      <c r="AYC229" s="18"/>
      <c r="AYD229" s="18"/>
      <c r="AYE229" s="18"/>
      <c r="AYF229" s="18"/>
      <c r="AYG229" s="18"/>
      <c r="AYH229" s="18"/>
      <c r="AYI229" s="18"/>
      <c r="AYJ229" s="18"/>
      <c r="AYK229" s="18"/>
      <c r="AYL229" s="18"/>
      <c r="AYM229" s="18"/>
      <c r="AYN229" s="18"/>
      <c r="AYO229" s="18"/>
      <c r="AYP229" s="18"/>
      <c r="AYQ229" s="18"/>
      <c r="AYR229" s="18"/>
      <c r="AYS229" s="18"/>
      <c r="AYT229" s="18"/>
      <c r="AYU229" s="18"/>
      <c r="AYV229" s="18"/>
      <c r="AYW229" s="18"/>
      <c r="AYX229" s="18"/>
      <c r="AYY229" s="18"/>
      <c r="AYZ229" s="18"/>
      <c r="AZA229" s="18"/>
      <c r="AZB229" s="18"/>
      <c r="AZC229" s="18"/>
      <c r="AZD229" s="18"/>
      <c r="AZE229" s="18"/>
      <c r="AZF229" s="18"/>
      <c r="AZG229" s="18"/>
      <c r="AZH229" s="18"/>
      <c r="AZI229" s="18"/>
      <c r="AZJ229" s="18"/>
      <c r="AZK229" s="18"/>
      <c r="AZL229" s="18"/>
      <c r="AZM229" s="18"/>
      <c r="AZN229" s="18"/>
      <c r="AZO229" s="18"/>
      <c r="AZP229" s="18"/>
      <c r="AZQ229" s="18"/>
      <c r="AZR229" s="18"/>
      <c r="AZS229" s="18"/>
      <c r="AZT229" s="18"/>
      <c r="AZU229" s="18"/>
      <c r="AZV229" s="18"/>
      <c r="AZW229" s="18"/>
      <c r="AZX229" s="18"/>
      <c r="AZY229" s="18"/>
      <c r="AZZ229" s="18"/>
      <c r="BAA229" s="18"/>
      <c r="BAB229" s="18"/>
      <c r="BAC229" s="18"/>
      <c r="BAD229" s="18"/>
      <c r="BAE229" s="18"/>
      <c r="BAF229" s="18"/>
      <c r="BAG229" s="18"/>
      <c r="BAH229" s="18"/>
      <c r="BAI229" s="18"/>
      <c r="BAJ229" s="18"/>
      <c r="BAK229" s="18"/>
      <c r="BAL229" s="18"/>
      <c r="BAM229" s="18"/>
      <c r="BAN229" s="18"/>
      <c r="BAO229" s="18"/>
      <c r="BAP229" s="18"/>
      <c r="BAQ229" s="18"/>
      <c r="BAR229" s="18"/>
      <c r="BAS229" s="18"/>
      <c r="BAT229" s="18"/>
      <c r="BAU229" s="18"/>
      <c r="BAV229" s="18"/>
      <c r="BAW229" s="18"/>
      <c r="BAX229" s="18"/>
      <c r="BAY229" s="18"/>
      <c r="BAZ229" s="18"/>
      <c r="BBA229" s="18"/>
      <c r="BBB229" s="18"/>
      <c r="BBC229" s="18"/>
      <c r="BBD229" s="18"/>
      <c r="BBE229" s="18"/>
      <c r="BBF229" s="18"/>
      <c r="BBG229" s="18"/>
      <c r="BBH229" s="18"/>
      <c r="BBI229" s="18"/>
      <c r="BBJ229" s="18"/>
      <c r="BBK229" s="18"/>
      <c r="BBL229" s="18"/>
      <c r="BBM229" s="18"/>
      <c r="BBN229" s="18"/>
      <c r="BBO229" s="18"/>
      <c r="BBP229" s="18"/>
      <c r="BBQ229" s="18"/>
      <c r="BBR229" s="18"/>
      <c r="BBS229" s="18"/>
      <c r="BBT229" s="18"/>
      <c r="BBU229" s="18"/>
      <c r="BBV229" s="18"/>
      <c r="BBW229" s="18"/>
      <c r="BBX229" s="18"/>
      <c r="BBY229" s="18"/>
      <c r="BBZ229" s="18"/>
      <c r="BCA229" s="18"/>
      <c r="BCB229" s="18"/>
      <c r="BCC229" s="18"/>
      <c r="BCD229" s="18"/>
      <c r="BCE229" s="18"/>
      <c r="BCF229" s="18"/>
      <c r="BCG229" s="18"/>
      <c r="BCH229" s="18"/>
      <c r="BCI229" s="18"/>
      <c r="BCJ229" s="18"/>
      <c r="BCK229" s="18"/>
      <c r="BCL229" s="18"/>
      <c r="BCM229" s="18"/>
      <c r="BCN229" s="18"/>
      <c r="BCO229" s="18"/>
      <c r="BCP229" s="18"/>
      <c r="BCQ229" s="18"/>
      <c r="BCR229" s="18"/>
      <c r="BCS229" s="18"/>
      <c r="BCT229" s="18"/>
      <c r="BCU229" s="18"/>
      <c r="BCV229" s="18"/>
      <c r="BCW229" s="18"/>
      <c r="BCX229" s="18"/>
      <c r="BCY229" s="18"/>
      <c r="BCZ229" s="18"/>
      <c r="BDA229" s="18"/>
      <c r="BDB229" s="18"/>
      <c r="BDC229" s="18"/>
      <c r="BDD229" s="18"/>
      <c r="BDE229" s="18"/>
      <c r="BDF229" s="18"/>
      <c r="BDG229" s="18"/>
      <c r="BDH229" s="18"/>
      <c r="BDI229" s="18"/>
      <c r="BDJ229" s="18"/>
      <c r="BDK229" s="18"/>
      <c r="BDL229" s="18"/>
      <c r="BDM229" s="18"/>
      <c r="BDN229" s="18"/>
      <c r="BDO229" s="18"/>
      <c r="BDP229" s="18"/>
      <c r="BDQ229" s="18"/>
      <c r="BDR229" s="18"/>
      <c r="BDS229" s="18"/>
      <c r="BDT229" s="18"/>
      <c r="BDU229" s="18"/>
      <c r="BDV229" s="18"/>
      <c r="BDW229" s="18"/>
      <c r="BDX229" s="18"/>
      <c r="BDY229" s="18"/>
      <c r="BDZ229" s="18"/>
      <c r="BEA229" s="18"/>
      <c r="BEB229" s="18"/>
      <c r="BEC229" s="18"/>
      <c r="BED229" s="18"/>
      <c r="BEE229" s="18"/>
      <c r="BEF229" s="18"/>
      <c r="BEG229" s="18"/>
      <c r="BEH229" s="18"/>
      <c r="BEI229" s="18"/>
      <c r="BEJ229" s="18"/>
      <c r="BEK229" s="18"/>
      <c r="BEL229" s="18"/>
      <c r="BEM229" s="18"/>
      <c r="BEN229" s="18"/>
      <c r="BEO229" s="18"/>
      <c r="BEP229" s="18"/>
      <c r="BEQ229" s="18"/>
      <c r="BER229" s="18"/>
      <c r="BES229" s="18"/>
      <c r="BET229" s="18"/>
      <c r="BEU229" s="18"/>
      <c r="BEV229" s="18"/>
      <c r="BEW229" s="18"/>
      <c r="BEX229" s="18"/>
      <c r="BEY229" s="18"/>
      <c r="BEZ229" s="18"/>
      <c r="BFA229" s="18"/>
      <c r="BFB229" s="18"/>
      <c r="BFC229" s="18"/>
      <c r="BFD229" s="18"/>
      <c r="BFE229" s="18"/>
      <c r="BFF229" s="18"/>
      <c r="BFG229" s="18"/>
      <c r="BFH229" s="18"/>
      <c r="BFI229" s="18"/>
      <c r="BFJ229" s="18"/>
      <c r="BFK229" s="18"/>
      <c r="BFL229" s="18"/>
      <c r="BFM229" s="18"/>
      <c r="BFN229" s="18"/>
      <c r="BFO229" s="18"/>
      <c r="BFP229" s="18"/>
      <c r="BFQ229" s="18"/>
      <c r="BFR229" s="18"/>
      <c r="BFS229" s="18"/>
      <c r="BFT229" s="18"/>
      <c r="BFU229" s="18"/>
      <c r="BFV229" s="18"/>
      <c r="BFW229" s="18"/>
      <c r="BFX229" s="18"/>
      <c r="BFY229" s="18"/>
      <c r="BFZ229" s="18"/>
      <c r="BGA229" s="18"/>
      <c r="BGB229" s="18"/>
      <c r="BGC229" s="18"/>
      <c r="BGD229" s="18"/>
      <c r="BGE229" s="18"/>
      <c r="BGF229" s="18"/>
      <c r="BGG229" s="18"/>
      <c r="BGH229" s="18"/>
      <c r="BGI229" s="18"/>
      <c r="BGJ229" s="18"/>
      <c r="BGK229" s="18"/>
      <c r="BGL229" s="18"/>
      <c r="BGM229" s="18"/>
      <c r="BGN229" s="18"/>
      <c r="BGO229" s="18"/>
      <c r="BGP229" s="18"/>
      <c r="BGQ229" s="18"/>
      <c r="BGR229" s="18"/>
      <c r="BGS229" s="18"/>
      <c r="BGT229" s="18"/>
      <c r="BGU229" s="18"/>
      <c r="BGV229" s="18"/>
      <c r="BGW229" s="18"/>
      <c r="BGX229" s="18"/>
      <c r="BGY229" s="18"/>
      <c r="BGZ229" s="18"/>
      <c r="BHA229" s="18"/>
      <c r="BHB229" s="18"/>
      <c r="BHC229" s="18"/>
      <c r="BHD229" s="18"/>
      <c r="BHE229" s="18"/>
      <c r="BHF229" s="18"/>
      <c r="BHG229" s="18"/>
      <c r="BHH229" s="18"/>
      <c r="BHI229" s="18"/>
      <c r="BHJ229" s="18"/>
      <c r="BHK229" s="18"/>
      <c r="BHL229" s="18"/>
      <c r="BHM229" s="18"/>
      <c r="BHN229" s="18"/>
      <c r="BHO229" s="18"/>
      <c r="BHP229" s="18"/>
      <c r="BHQ229" s="18"/>
      <c r="BHR229" s="18"/>
      <c r="BHS229" s="18"/>
      <c r="BHT229" s="18"/>
      <c r="BHU229" s="18"/>
      <c r="BHV229" s="18"/>
      <c r="BHW229" s="18"/>
      <c r="BHX229" s="18"/>
      <c r="BHY229" s="18"/>
      <c r="BHZ229" s="18"/>
      <c r="BIA229" s="18"/>
      <c r="BIB229" s="18"/>
      <c r="BIC229" s="18"/>
      <c r="BID229" s="18"/>
      <c r="BIE229" s="18"/>
      <c r="BIF229" s="18"/>
      <c r="BIG229" s="18"/>
      <c r="BIH229" s="18"/>
      <c r="BII229" s="18"/>
      <c r="BIJ229" s="18"/>
      <c r="BIK229" s="18"/>
      <c r="BIL229" s="18"/>
      <c r="BIM229" s="18"/>
      <c r="BIN229" s="18"/>
      <c r="BIO229" s="18"/>
      <c r="BIP229" s="18"/>
      <c r="BIQ229" s="18"/>
      <c r="BIR229" s="18"/>
      <c r="BIS229" s="18"/>
      <c r="BIT229" s="18"/>
      <c r="BIU229" s="18"/>
      <c r="BIV229" s="18"/>
      <c r="BIW229" s="18"/>
      <c r="BIX229" s="18"/>
      <c r="BIY229" s="18"/>
      <c r="BIZ229" s="18"/>
      <c r="BJA229" s="18"/>
      <c r="BJB229" s="18"/>
      <c r="BJC229" s="18"/>
      <c r="BJD229" s="18"/>
      <c r="BJE229" s="18"/>
      <c r="BJF229" s="18"/>
      <c r="BJG229" s="18"/>
      <c r="BJH229" s="18"/>
      <c r="BJI229" s="18"/>
      <c r="BJJ229" s="18"/>
      <c r="BJK229" s="18"/>
      <c r="BJL229" s="18"/>
      <c r="BJM229" s="18"/>
      <c r="BJN229" s="18"/>
      <c r="BJO229" s="18"/>
      <c r="BJP229" s="18"/>
      <c r="BJQ229" s="18"/>
      <c r="BJR229" s="18"/>
      <c r="BJS229" s="18"/>
      <c r="BJT229" s="18"/>
      <c r="BJU229" s="18"/>
      <c r="BJV229" s="18"/>
      <c r="BJW229" s="18"/>
      <c r="BJX229" s="18"/>
      <c r="BJY229" s="18"/>
      <c r="BJZ229" s="18"/>
      <c r="BKA229" s="18"/>
      <c r="BKB229" s="18"/>
      <c r="BKC229" s="18"/>
      <c r="BKD229" s="18"/>
      <c r="BKE229" s="18"/>
      <c r="BKF229" s="18"/>
      <c r="BKG229" s="18"/>
      <c r="BKH229" s="18"/>
      <c r="BKI229" s="18"/>
      <c r="BKJ229" s="18"/>
      <c r="BKK229" s="18"/>
      <c r="BKL229" s="18"/>
      <c r="BKM229" s="18"/>
      <c r="BKN229" s="18"/>
      <c r="BKO229" s="18"/>
      <c r="BKP229" s="18"/>
      <c r="BKQ229" s="18"/>
      <c r="BKR229" s="18"/>
      <c r="BKS229" s="18"/>
      <c r="BKT229" s="18"/>
      <c r="BKU229" s="18"/>
      <c r="BKV229" s="18"/>
      <c r="BKW229" s="18"/>
      <c r="BKX229" s="18"/>
      <c r="BKY229" s="18"/>
      <c r="BKZ229" s="18"/>
      <c r="BLA229" s="18"/>
      <c r="BLB229" s="18"/>
      <c r="BLC229" s="18"/>
      <c r="BLD229" s="18"/>
      <c r="BLE229" s="18"/>
      <c r="BLF229" s="18"/>
      <c r="BLG229" s="18"/>
      <c r="BLH229" s="18"/>
      <c r="BLI229" s="18"/>
      <c r="BLJ229" s="18"/>
      <c r="BLK229" s="18"/>
      <c r="BLL229" s="18"/>
      <c r="BLM229" s="18"/>
      <c r="BLN229" s="18"/>
      <c r="BLO229" s="18"/>
      <c r="BLP229" s="18"/>
      <c r="BLQ229" s="18"/>
      <c r="BLR229" s="18"/>
      <c r="BLS229" s="18"/>
      <c r="BLT229" s="18"/>
      <c r="BLU229" s="18"/>
      <c r="BLV229" s="18"/>
      <c r="BLW229" s="18"/>
      <c r="BLX229" s="18"/>
      <c r="BLY229" s="18"/>
      <c r="BLZ229" s="18"/>
      <c r="BMA229" s="18"/>
      <c r="BMB229" s="18"/>
      <c r="BMC229" s="18"/>
      <c r="BMD229" s="18"/>
      <c r="BME229" s="18"/>
      <c r="BMF229" s="18"/>
      <c r="BMG229" s="18"/>
      <c r="BMH229" s="18"/>
      <c r="BMI229" s="18"/>
      <c r="BMJ229" s="18"/>
      <c r="BMK229" s="18"/>
      <c r="BML229" s="18"/>
      <c r="BMM229" s="18"/>
      <c r="BMN229" s="18"/>
      <c r="BMO229" s="18"/>
      <c r="BMP229" s="18"/>
      <c r="BMQ229" s="18"/>
      <c r="BMR229" s="18"/>
      <c r="BMS229" s="18"/>
      <c r="BMT229" s="18"/>
      <c r="BMU229" s="18"/>
      <c r="BMV229" s="18"/>
      <c r="BMW229" s="18"/>
      <c r="BMX229" s="18"/>
      <c r="BMY229" s="18"/>
      <c r="BMZ229" s="18"/>
      <c r="BNA229" s="18"/>
      <c r="BNB229" s="18"/>
      <c r="BNC229" s="18"/>
      <c r="BND229" s="18"/>
      <c r="BNE229" s="18"/>
      <c r="BNF229" s="18"/>
      <c r="BNG229" s="18"/>
      <c r="BNH229" s="18"/>
      <c r="BNI229" s="18"/>
      <c r="BNJ229" s="18"/>
      <c r="BNK229" s="18"/>
      <c r="BNL229" s="18"/>
      <c r="BNM229" s="18"/>
      <c r="BNN229" s="18"/>
      <c r="BNO229" s="18"/>
      <c r="BNP229" s="18"/>
      <c r="BNQ229" s="18"/>
      <c r="BNR229" s="18"/>
      <c r="BNS229" s="18"/>
      <c r="BNT229" s="18"/>
      <c r="BNU229" s="18"/>
      <c r="BNV229" s="18"/>
      <c r="BNW229" s="18"/>
      <c r="BNX229" s="18"/>
      <c r="BNY229" s="18"/>
      <c r="BNZ229" s="18"/>
      <c r="BOA229" s="18"/>
      <c r="BOB229" s="18"/>
      <c r="BOC229" s="18"/>
      <c r="BOD229" s="18"/>
      <c r="BOE229" s="18"/>
      <c r="BOF229" s="18"/>
      <c r="BOG229" s="18"/>
      <c r="BOH229" s="18"/>
      <c r="BOI229" s="18"/>
      <c r="BOJ229" s="18"/>
      <c r="BOK229" s="18"/>
      <c r="BOL229" s="18"/>
      <c r="BOM229" s="18"/>
      <c r="BON229" s="18"/>
      <c r="BOO229" s="18"/>
      <c r="BOP229" s="18"/>
      <c r="BOQ229" s="18"/>
      <c r="BOR229" s="18"/>
      <c r="BOS229" s="18"/>
      <c r="BOT229" s="18"/>
      <c r="BOU229" s="18"/>
      <c r="BOV229" s="18"/>
      <c r="BOW229" s="18"/>
      <c r="BOX229" s="18"/>
      <c r="BOY229" s="18"/>
      <c r="BOZ229" s="18"/>
      <c r="BPA229" s="18"/>
      <c r="BPB229" s="18"/>
      <c r="BPC229" s="18"/>
      <c r="BPD229" s="18"/>
      <c r="BPE229" s="18"/>
      <c r="BPF229" s="18"/>
      <c r="BPG229" s="18"/>
      <c r="BPH229" s="18"/>
      <c r="BPI229" s="18"/>
      <c r="BPJ229" s="18"/>
      <c r="BPK229" s="18"/>
      <c r="BPL229" s="18"/>
      <c r="BPM229" s="18"/>
      <c r="BPN229" s="18"/>
      <c r="BPO229" s="18"/>
      <c r="BPP229" s="18"/>
      <c r="BPQ229" s="18"/>
      <c r="BPR229" s="18"/>
      <c r="BPS229" s="18"/>
      <c r="BPT229" s="18"/>
      <c r="BPU229" s="18"/>
      <c r="BPV229" s="18"/>
      <c r="BPW229" s="18"/>
      <c r="BPX229" s="18"/>
      <c r="BPY229" s="18"/>
      <c r="BPZ229" s="18"/>
      <c r="BQA229" s="18"/>
      <c r="BQB229" s="18"/>
      <c r="BQC229" s="18"/>
      <c r="BQD229" s="18"/>
      <c r="BQE229" s="18"/>
      <c r="BQF229" s="18"/>
      <c r="BQG229" s="18"/>
      <c r="BQH229" s="18"/>
      <c r="BQI229" s="18"/>
      <c r="BQJ229" s="18"/>
      <c r="BQK229" s="18"/>
      <c r="BQL229" s="18"/>
      <c r="BQM229" s="18"/>
      <c r="BQN229" s="18"/>
      <c r="BQO229" s="18"/>
      <c r="BQP229" s="18"/>
      <c r="BQQ229" s="18"/>
      <c r="BQR229" s="18"/>
      <c r="BQS229" s="18"/>
      <c r="BQT229" s="18"/>
      <c r="BQU229" s="18"/>
      <c r="BQV229" s="18"/>
      <c r="BQW229" s="18"/>
      <c r="BQX229" s="18"/>
      <c r="BQY229" s="18"/>
      <c r="BQZ229" s="18"/>
      <c r="BRA229" s="18"/>
      <c r="BRB229" s="18"/>
      <c r="BRC229" s="18"/>
      <c r="BRD229" s="18"/>
      <c r="BRE229" s="18"/>
      <c r="BRF229" s="18"/>
      <c r="BRG229" s="18"/>
      <c r="BRH229" s="18"/>
      <c r="BRI229" s="18"/>
      <c r="BRJ229" s="18"/>
      <c r="BRK229" s="18"/>
      <c r="BRL229" s="18"/>
      <c r="BRM229" s="18"/>
      <c r="BRN229" s="18"/>
      <c r="BRO229" s="18"/>
      <c r="BRP229" s="18"/>
      <c r="BRQ229" s="18"/>
      <c r="BRR229" s="18"/>
      <c r="BRS229" s="18"/>
      <c r="BRT229" s="18"/>
      <c r="BRU229" s="18"/>
      <c r="BRV229" s="18"/>
      <c r="BRW229" s="18"/>
      <c r="BRX229" s="18"/>
      <c r="BRY229" s="18"/>
      <c r="BRZ229" s="18"/>
      <c r="BSA229" s="18"/>
      <c r="BSB229" s="18"/>
      <c r="BSC229" s="18"/>
      <c r="BSD229" s="18"/>
      <c r="BSE229" s="18"/>
      <c r="BSF229" s="18"/>
      <c r="BSG229" s="18"/>
      <c r="BSH229" s="18"/>
      <c r="BSI229" s="18"/>
      <c r="BSJ229" s="18"/>
      <c r="BSK229" s="18"/>
      <c r="BSL229" s="18"/>
      <c r="BSM229" s="18"/>
      <c r="BSN229" s="18"/>
      <c r="BSO229" s="18"/>
      <c r="BSP229" s="18"/>
      <c r="BSQ229" s="18"/>
      <c r="BSR229" s="18"/>
      <c r="BSS229" s="18"/>
      <c r="BST229" s="18"/>
      <c r="BSU229" s="18"/>
      <c r="BSV229" s="18"/>
      <c r="BSW229" s="18"/>
      <c r="BSX229" s="18"/>
      <c r="BSY229" s="18"/>
      <c r="BSZ229" s="18"/>
      <c r="BTA229" s="18"/>
      <c r="BTB229" s="18"/>
      <c r="BTC229" s="18"/>
      <c r="BTD229" s="18"/>
      <c r="BTE229" s="18"/>
      <c r="BTF229" s="18"/>
      <c r="BTG229" s="18"/>
      <c r="BTH229" s="18"/>
      <c r="BTI229" s="18"/>
    </row>
    <row r="230" spans="1:1881" ht="35.25" customHeight="1" x14ac:dyDescent="0.3">
      <c r="A230" s="100"/>
      <c r="B230" s="489" t="s">
        <v>25</v>
      </c>
      <c r="C230" s="499"/>
      <c r="D230" s="492"/>
      <c r="E230" s="506"/>
      <c r="F230" s="506"/>
      <c r="G230" s="474"/>
      <c r="H230" s="17"/>
      <c r="I230" s="17"/>
      <c r="J230" s="72"/>
      <c r="K230"/>
      <c r="L230" s="547"/>
    </row>
    <row r="231" spans="1:1881" ht="151.19999999999999" customHeight="1" x14ac:dyDescent="0.3">
      <c r="A231" s="117">
        <v>621</v>
      </c>
      <c r="B231" s="117" t="s">
        <v>324</v>
      </c>
      <c r="C231" s="117" t="s">
        <v>354</v>
      </c>
      <c r="D231" s="116" t="s">
        <v>659</v>
      </c>
      <c r="E231" s="371" t="e">
        <f>INDEX('PY1 Data(H)'!$A$1:$CZ$265,MATCH('Unit Data from Audit Worksheet'!$A231,'PY1 Data(H)'!$A$1:$A$258,0),MATCH('Unit Data from Audit Worksheet'!$D$2,'PY1 Data(H)'!$A$1:$CZ$1,0))</f>
        <v>#N/A</v>
      </c>
      <c r="F231" s="793">
        <v>0</v>
      </c>
      <c r="G231" s="430" t="s">
        <v>660</v>
      </c>
      <c r="I231" s="309"/>
      <c r="K231"/>
      <c r="L231" s="547"/>
    </row>
    <row r="232" spans="1:1881" ht="178.2" customHeight="1" x14ac:dyDescent="0.3">
      <c r="A232" s="100">
        <v>547</v>
      </c>
      <c r="B232" s="373"/>
      <c r="C232" s="373" t="s">
        <v>159</v>
      </c>
      <c r="D232" s="739" t="s">
        <v>1544</v>
      </c>
      <c r="E232" s="371" t="e">
        <f>INDEX('PY1 Data(H)'!$A$1:$CZ$265,MATCH('Unit Data from Audit Worksheet'!$A232,'PY1 Data(H)'!$A$1:$A$258,0),MATCH('Unit Data from Audit Worksheet'!$D$2,'PY1 Data(H)'!$A$1:$CZ$1,0))</f>
        <v>#N/A</v>
      </c>
      <c r="F232" s="184"/>
      <c r="G232" s="429" t="str">
        <f>IF(F232&lt;1,"Please answer this question","")</f>
        <v>Please answer this question</v>
      </c>
      <c r="H232" s="402"/>
      <c r="I232" s="402"/>
      <c r="J232" s="403"/>
      <c r="K232"/>
      <c r="L232" s="547"/>
    </row>
    <row r="233" spans="1:1881" s="18" customFormat="1" ht="120" customHeight="1" x14ac:dyDescent="0.3">
      <c r="A233" s="189">
        <v>659</v>
      </c>
      <c r="B233" s="460" t="s">
        <v>58</v>
      </c>
      <c r="C233" s="460" t="s">
        <v>344</v>
      </c>
      <c r="D233" s="192" t="s">
        <v>661</v>
      </c>
      <c r="E233" s="371" t="e">
        <f>INDEX('PY1 Data(H)'!$A$1:$CZ$265,MATCH('Unit Data from Audit Worksheet'!$A233,'PY1 Data(H)'!$A$1:$A$258,0),MATCH('Unit Data from Audit Worksheet'!$D$2,'PY1 Data(H)'!$A$1:$CZ$1,0))</f>
        <v>#N/A</v>
      </c>
      <c r="F233" s="793">
        <v>0</v>
      </c>
      <c r="G233" s="430" t="s">
        <v>662</v>
      </c>
      <c r="H233" s="401">
        <f>IF(F230&lt;0,"Error: Enter as positive.",)</f>
        <v>0</v>
      </c>
      <c r="I233" s="242"/>
      <c r="J233" s="242"/>
      <c r="K233"/>
      <c r="L233" s="547"/>
      <c r="M233"/>
      <c r="O233" s="186"/>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row>
    <row r="234" spans="1:1881" ht="65.25" customHeight="1" x14ac:dyDescent="0.3">
      <c r="A234" s="189">
        <v>660</v>
      </c>
      <c r="B234" s="460" t="s">
        <v>58</v>
      </c>
      <c r="C234" s="460" t="s">
        <v>344</v>
      </c>
      <c r="D234" s="192" t="s">
        <v>663</v>
      </c>
      <c r="E234" s="371" t="e">
        <f>INDEX('PY1 Data(H)'!$A$1:$CZ$265,MATCH('Unit Data from Audit Worksheet'!$A234,'PY1 Data(H)'!$A$1:$A$258,0),MATCH('Unit Data from Audit Worksheet'!$D$2,'PY1 Data(H)'!$A$1:$CZ$1,0))</f>
        <v>#N/A</v>
      </c>
      <c r="F234" s="793">
        <v>0</v>
      </c>
      <c r="G234" s="430" t="str">
        <f>IF(ISBLANK(F234),"Please do not leave blank","")</f>
        <v/>
      </c>
      <c r="H234" s="401">
        <f>IF(F231&lt;0,"Note: Number is normally positive.",)</f>
        <v>0</v>
      </c>
      <c r="I234" s="17"/>
      <c r="J234" s="17"/>
      <c r="K234"/>
      <c r="L234" s="547"/>
    </row>
    <row r="235" spans="1:1881" ht="94.5" customHeight="1" x14ac:dyDescent="0.3">
      <c r="A235" s="189">
        <v>661</v>
      </c>
      <c r="B235" s="460" t="s">
        <v>58</v>
      </c>
      <c r="C235" s="460" t="s">
        <v>346</v>
      </c>
      <c r="D235" s="343" t="s">
        <v>664</v>
      </c>
      <c r="E235" s="371" t="e">
        <f>INDEX('PY1 Data(H)'!$A$1:$CZ$265,MATCH('Unit Data from Audit Worksheet'!$A235,'PY1 Data(H)'!$A$1:$A$258,0),MATCH('Unit Data from Audit Worksheet'!$D$2,'PY1 Data(H)'!$A$1:$CZ$1,0))</f>
        <v>#N/A</v>
      </c>
      <c r="F235" s="795">
        <v>0</v>
      </c>
      <c r="G235" s="430" t="str">
        <f>IF(ISBLANK(F235),"Please do not leave blank ",IF(F235=H235,"","Please review percentage"))</f>
        <v/>
      </c>
      <c r="H235" s="796">
        <f>ROUND(IFERROR((F234/F233)*100,0),1)</f>
        <v>0</v>
      </c>
      <c r="I235" s="431"/>
      <c r="J235" s="431"/>
      <c r="K235"/>
      <c r="L235" s="547"/>
    </row>
    <row r="236" spans="1:1881" ht="111.75" customHeight="1" x14ac:dyDescent="0.3">
      <c r="A236" s="100"/>
      <c r="B236" s="373"/>
      <c r="C236" s="373"/>
      <c r="D236" s="24" t="s">
        <v>26</v>
      </c>
      <c r="E236" s="371"/>
      <c r="F236" s="375"/>
      <c r="G236" s="430"/>
      <c r="H236" s="431"/>
      <c r="I236" s="1022"/>
      <c r="J236" s="432"/>
      <c r="K236"/>
      <c r="L236" s="547"/>
    </row>
    <row r="237" spans="1:1881" ht="32.25" customHeight="1" x14ac:dyDescent="0.3">
      <c r="A237" s="100"/>
      <c r="B237" s="489" t="s">
        <v>27</v>
      </c>
      <c r="C237" s="499"/>
      <c r="D237" s="492"/>
      <c r="E237" s="505"/>
      <c r="F237" s="505"/>
      <c r="G237" s="474"/>
      <c r="H237" s="17"/>
      <c r="I237" s="17"/>
      <c r="J237" s="72"/>
      <c r="K237"/>
      <c r="L237" s="547"/>
    </row>
    <row r="238" spans="1:1881" ht="63.75" customHeight="1" x14ac:dyDescent="0.3">
      <c r="A238" s="30">
        <v>371</v>
      </c>
      <c r="B238" s="4" t="s">
        <v>55</v>
      </c>
      <c r="C238" s="4" t="s">
        <v>160</v>
      </c>
      <c r="D238" s="21" t="s">
        <v>757</v>
      </c>
      <c r="E238" s="371" t="e">
        <f>INDEX('PY1 Data(H)'!$A$1:$CZ$265,MATCH('Unit Data from Audit Worksheet'!$A238,'PY1 Data(H)'!$A$1:$A$258,0),MATCH('Unit Data from Audit Worksheet'!$D$2,'PY1 Data(H)'!$A$1:$CZ$1,0))</f>
        <v>#N/A</v>
      </c>
      <c r="F238" s="793">
        <v>0</v>
      </c>
      <c r="G238" s="401">
        <f>IF(F238&lt;0,"Error: Enter as positive.",)</f>
        <v>0</v>
      </c>
      <c r="H238" s="17"/>
      <c r="I238" s="17"/>
      <c r="J238" s="72"/>
      <c r="K238"/>
      <c r="L238" s="547"/>
    </row>
    <row r="239" spans="1:1881" ht="63.75" customHeight="1" x14ac:dyDescent="0.3">
      <c r="A239" s="100">
        <v>1075</v>
      </c>
      <c r="B239" s="458" t="s">
        <v>58</v>
      </c>
      <c r="C239" s="373" t="s">
        <v>160</v>
      </c>
      <c r="D239" s="781" t="s">
        <v>1864</v>
      </c>
      <c r="E239" s="371" t="e">
        <f>INDEX('PY1 Data(H)'!$A$1:$CZ$265,MATCH('Unit Data from Audit Worksheet'!$A239,'PY1 Data(H)'!$A$1:$A$258,0),MATCH('Unit Data from Audit Worksheet'!$D$2,'PY1 Data(H)'!$A$1:$CZ$1,0))</f>
        <v>#N/A</v>
      </c>
      <c r="F239" s="793">
        <v>0</v>
      </c>
      <c r="G239" s="401"/>
      <c r="H239" s="17"/>
      <c r="I239" s="17"/>
      <c r="J239" s="72"/>
      <c r="K239" s="180"/>
      <c r="L239" s="547"/>
      <c r="M239" s="180"/>
      <c r="Z239" s="180"/>
      <c r="AA239" s="180"/>
      <c r="AB239" s="180"/>
      <c r="AC239" s="180"/>
      <c r="AD239" s="180"/>
      <c r="AE239" s="180"/>
      <c r="AF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c r="BZ239" s="180"/>
      <c r="CA239" s="180"/>
      <c r="CB239" s="180"/>
      <c r="CC239" s="180"/>
      <c r="CD239" s="180"/>
      <c r="CE239" s="180"/>
      <c r="CF239" s="180"/>
      <c r="CG239" s="180"/>
      <c r="CH239" s="180"/>
      <c r="CI239" s="180"/>
      <c r="CJ239" s="180"/>
      <c r="CK239" s="180"/>
      <c r="CL239" s="180"/>
      <c r="CM239" s="180"/>
      <c r="CN239" s="180"/>
      <c r="CO239" s="180"/>
      <c r="CP239" s="180"/>
      <c r="CQ239" s="180"/>
      <c r="CR239" s="180"/>
      <c r="CS239" s="180"/>
      <c r="CT239" s="180"/>
      <c r="CU239" s="180"/>
      <c r="CV239" s="180"/>
      <c r="CW239" s="180"/>
      <c r="CX239" s="180"/>
      <c r="CY239" s="180"/>
      <c r="CZ239" s="180"/>
      <c r="DA239" s="180"/>
      <c r="DB239" s="180"/>
      <c r="DC239" s="180"/>
      <c r="DD239" s="180"/>
      <c r="DE239" s="180"/>
      <c r="DF239" s="180"/>
      <c r="DG239" s="180"/>
      <c r="DH239" s="180"/>
      <c r="DI239" s="180"/>
      <c r="DJ239" s="180"/>
      <c r="DK239" s="180"/>
      <c r="DL239" s="180"/>
      <c r="DM239" s="180"/>
      <c r="DN239" s="180"/>
      <c r="DO239" s="180"/>
      <c r="DP239" s="180"/>
      <c r="DQ239" s="180"/>
      <c r="DR239" s="180"/>
      <c r="DS239" s="180"/>
    </row>
    <row r="240" spans="1:1881" ht="63.75" customHeight="1" x14ac:dyDescent="0.3">
      <c r="A240" s="100">
        <v>1076</v>
      </c>
      <c r="B240" s="458" t="s">
        <v>58</v>
      </c>
      <c r="C240" s="373" t="s">
        <v>160</v>
      </c>
      <c r="D240" s="781" t="s">
        <v>1865</v>
      </c>
      <c r="E240" s="371" t="e">
        <f>INDEX('PY1 Data(H)'!$A$1:$CZ$265,MATCH('Unit Data from Audit Worksheet'!$A240,'PY1 Data(H)'!$A$1:$A$258,0),MATCH('Unit Data from Audit Worksheet'!$D$2,'PY1 Data(H)'!$A$1:$CZ$1,0))</f>
        <v>#N/A</v>
      </c>
      <c r="F240" s="793">
        <v>0</v>
      </c>
      <c r="G240" s="401"/>
      <c r="H240" s="17"/>
      <c r="I240" s="17"/>
      <c r="J240" s="72"/>
      <c r="K240" s="180"/>
      <c r="L240" s="547"/>
      <c r="M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c r="CV240" s="180"/>
      <c r="CW240" s="180"/>
      <c r="CX240" s="180"/>
      <c r="CY240" s="180"/>
      <c r="CZ240" s="180"/>
      <c r="DA240" s="180"/>
      <c r="DB240" s="180"/>
      <c r="DC240" s="180"/>
      <c r="DD240" s="180"/>
      <c r="DE240" s="180"/>
      <c r="DF240" s="180"/>
      <c r="DG240" s="180"/>
      <c r="DH240" s="180"/>
      <c r="DI240" s="180"/>
      <c r="DJ240" s="180"/>
      <c r="DK240" s="180"/>
      <c r="DL240" s="180"/>
      <c r="DM240" s="180"/>
      <c r="DN240" s="180"/>
      <c r="DO240" s="180"/>
      <c r="DP240" s="180"/>
      <c r="DQ240" s="180"/>
      <c r="DR240" s="180"/>
      <c r="DS240" s="180"/>
    </row>
    <row r="241" spans="1:123" ht="100.8" x14ac:dyDescent="0.3">
      <c r="A241" s="100">
        <v>1077</v>
      </c>
      <c r="B241" s="458" t="s">
        <v>58</v>
      </c>
      <c r="C241" s="705" t="s">
        <v>1868</v>
      </c>
      <c r="D241" s="781" t="s">
        <v>1945</v>
      </c>
      <c r="E241" s="371" t="e">
        <f>INDEX('PY1 Data(H)'!$A$1:$CZ$265,MATCH('Unit Data from Audit Worksheet'!$A241,'PY1 Data(H)'!$A$1:$A$258,0),MATCH('Unit Data from Audit Worksheet'!$D$2,'PY1 Data(H)'!$A$1:$CZ$1,0))</f>
        <v>#N/A</v>
      </c>
      <c r="F241" s="793">
        <v>0</v>
      </c>
      <c r="G241" s="401"/>
      <c r="H241" s="17"/>
      <c r="I241" s="17"/>
      <c r="J241" s="72"/>
      <c r="K241" s="180"/>
      <c r="L241" s="547"/>
      <c r="M241" s="180"/>
      <c r="Z241" s="180"/>
      <c r="AA241" s="180"/>
      <c r="AB241" s="180"/>
      <c r="AC241" s="180"/>
      <c r="AD241" s="180"/>
      <c r="AE241" s="180"/>
      <c r="AF241" s="180"/>
      <c r="AG241" s="180"/>
      <c r="AH241" s="180"/>
      <c r="AI241" s="180"/>
      <c r="AJ241" s="180"/>
      <c r="AK241" s="180"/>
      <c r="AL241" s="180"/>
      <c r="AM241" s="180"/>
      <c r="AN241" s="180"/>
      <c r="AO241" s="180"/>
      <c r="AP241" s="180"/>
      <c r="AQ241" s="180"/>
      <c r="AR241" s="180"/>
      <c r="AS241" s="180"/>
      <c r="AT241" s="180"/>
      <c r="AU241" s="180"/>
      <c r="AV241" s="180"/>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c r="BZ241" s="180"/>
      <c r="CA241" s="180"/>
      <c r="CB241" s="180"/>
      <c r="CC241" s="180"/>
      <c r="CD241" s="180"/>
      <c r="CE241" s="180"/>
      <c r="CF241" s="180"/>
      <c r="CG241" s="180"/>
      <c r="CH241" s="180"/>
      <c r="CI241" s="180"/>
      <c r="CJ241" s="180"/>
      <c r="CK241" s="180"/>
      <c r="CL241" s="180"/>
      <c r="CM241" s="180"/>
      <c r="CN241" s="180"/>
      <c r="CO241" s="180"/>
      <c r="CP241" s="180"/>
      <c r="CQ241" s="180"/>
      <c r="CR241" s="180"/>
      <c r="CS241" s="180"/>
      <c r="CT241" s="180"/>
      <c r="CU241" s="180"/>
      <c r="CV241" s="180"/>
      <c r="CW241" s="180"/>
      <c r="CX241" s="180"/>
      <c r="CY241" s="180"/>
      <c r="CZ241" s="180"/>
      <c r="DA241" s="180"/>
      <c r="DB241" s="180"/>
      <c r="DC241" s="180"/>
      <c r="DD241" s="180"/>
      <c r="DE241" s="180"/>
      <c r="DF241" s="180"/>
      <c r="DG241" s="180"/>
      <c r="DH241" s="180"/>
      <c r="DI241" s="180"/>
      <c r="DJ241" s="180"/>
      <c r="DK241" s="180"/>
      <c r="DL241" s="180"/>
      <c r="DM241" s="180"/>
      <c r="DN241" s="180"/>
      <c r="DO241" s="180"/>
      <c r="DP241" s="180"/>
      <c r="DQ241" s="180"/>
      <c r="DR241" s="180"/>
      <c r="DS241" s="180"/>
    </row>
    <row r="242" spans="1:123" ht="70.5" customHeight="1" x14ac:dyDescent="0.3">
      <c r="A242" s="100">
        <v>513</v>
      </c>
      <c r="B242" s="458" t="s">
        <v>57</v>
      </c>
      <c r="C242" s="4" t="s">
        <v>160</v>
      </c>
      <c r="D242" s="21" t="s">
        <v>758</v>
      </c>
      <c r="E242" s="792" t="e">
        <f>INDEX('PY1 Data(H)'!$A$1:$CZ$265,MATCH('Unit Data from Audit Worksheet'!$A242,'PY1 Data(H)'!$A$1:$A$258,0),MATCH('Unit Data from Audit Worksheet'!$D$2,'PY1 Data(H)'!$A$1:$CZ$1,0))</f>
        <v>#N/A</v>
      </c>
      <c r="F242" s="184">
        <v>0</v>
      </c>
      <c r="G242" s="401">
        <f>IF(F242&lt;0,"Error: Enter as positive.",)</f>
        <v>0</v>
      </c>
      <c r="H242" s="402"/>
      <c r="I242" s="402"/>
      <c r="J242" s="403"/>
      <c r="K242"/>
      <c r="L242" s="547"/>
    </row>
    <row r="243" spans="1:123" ht="80.25" customHeight="1" x14ac:dyDescent="0.3">
      <c r="A243" s="100">
        <v>514</v>
      </c>
      <c r="B243" s="458" t="s">
        <v>57</v>
      </c>
      <c r="C243" s="4" t="s">
        <v>160</v>
      </c>
      <c r="D243" s="21" t="s">
        <v>759</v>
      </c>
      <c r="E243" s="792" t="e">
        <f>INDEX('PY1 Data(H)'!$A$1:$CZ$265,MATCH('Unit Data from Audit Worksheet'!$A243,'PY1 Data(H)'!$A$1:$A$258,0),MATCH('Unit Data from Audit Worksheet'!$D$2,'PY1 Data(H)'!$A$1:$CZ$1,0))</f>
        <v>#N/A</v>
      </c>
      <c r="F243" s="184">
        <v>0</v>
      </c>
      <c r="G243" s="401">
        <f>IF(F243&lt;0,"Error: Enter as positive.",)</f>
        <v>0</v>
      </c>
      <c r="H243" s="17"/>
      <c r="I243" s="402"/>
      <c r="J243" s="403"/>
      <c r="K243"/>
      <c r="L243" s="547"/>
    </row>
    <row r="244" spans="1:123" ht="80.25" customHeight="1" x14ac:dyDescent="0.3">
      <c r="A244" s="100">
        <v>990</v>
      </c>
      <c r="B244" s="949" t="s">
        <v>1911</v>
      </c>
      <c r="C244" s="373" t="s">
        <v>160</v>
      </c>
      <c r="D244" s="21" t="s">
        <v>1432</v>
      </c>
      <c r="E244" s="792" t="e">
        <f>INDEX('PY1 Data(H)'!$A$1:$CZ$265,MATCH('Unit Data from Audit Worksheet'!$A244,'PY1 Data(H)'!$A$1:$A$258,0),MATCH('Unit Data from Audit Worksheet'!$D$2,'PY1 Data(H)'!$A$1:$CZ$1,0))</f>
        <v>#N/A</v>
      </c>
      <c r="F244" s="184">
        <v>0</v>
      </c>
      <c r="G244" s="401">
        <f>IF(F244&lt;0,"Error: Enter as positive.",)</f>
        <v>0</v>
      </c>
      <c r="H244" s="17"/>
      <c r="I244" s="402"/>
      <c r="J244" s="403"/>
      <c r="K244"/>
      <c r="L244" s="547"/>
    </row>
    <row r="245" spans="1:123" ht="96" customHeight="1" x14ac:dyDescent="0.3">
      <c r="A245" s="373">
        <v>1051</v>
      </c>
      <c r="B245" s="951" t="s">
        <v>1907</v>
      </c>
      <c r="C245" s="705" t="s">
        <v>1437</v>
      </c>
      <c r="D245" s="781" t="s">
        <v>1428</v>
      </c>
      <c r="E245" s="792" t="e">
        <f>INDEX('PY1 Data(H)'!$A$1:$CZ$265,MATCH('Unit Data from Audit Worksheet'!$A245,'PY1 Data(H)'!$A$1:$A$258,0),MATCH('Unit Data from Audit Worksheet'!$D$2,'PY1 Data(H)'!$A$1:$CZ$1,0))</f>
        <v>#N/A</v>
      </c>
      <c r="F245" s="184">
        <v>0</v>
      </c>
      <c r="G245" s="401">
        <f>IF(F245&lt;0,"Error: Enter as positive.",)</f>
        <v>0</v>
      </c>
      <c r="H245" s="17"/>
      <c r="I245" s="402"/>
      <c r="J245" s="403"/>
      <c r="K245" s="180"/>
      <c r="L245" s="547"/>
      <c r="M245" s="180"/>
      <c r="Z245" s="180"/>
      <c r="AA245" s="180"/>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c r="CV245" s="180"/>
      <c r="CW245" s="180"/>
      <c r="CX245" s="180"/>
      <c r="CY245" s="180"/>
      <c r="CZ245" s="180"/>
      <c r="DA245" s="180"/>
      <c r="DB245" s="180"/>
      <c r="DC245" s="180"/>
      <c r="DD245" s="180"/>
      <c r="DE245" s="180"/>
      <c r="DF245" s="180"/>
      <c r="DG245" s="180"/>
      <c r="DH245" s="180"/>
      <c r="DI245" s="180"/>
      <c r="DJ245" s="180"/>
      <c r="DK245" s="180"/>
      <c r="DL245" s="180"/>
      <c r="DM245" s="180"/>
      <c r="DN245" s="180"/>
      <c r="DO245" s="180"/>
      <c r="DP245" s="180"/>
      <c r="DQ245" s="180"/>
      <c r="DR245" s="180"/>
      <c r="DS245" s="180"/>
    </row>
    <row r="246" spans="1:123" ht="32.25" customHeight="1" x14ac:dyDescent="0.3">
      <c r="A246" s="100"/>
      <c r="B246" s="489" t="s">
        <v>28</v>
      </c>
      <c r="C246" s="499"/>
      <c r="D246" s="492"/>
      <c r="E246" s="474"/>
      <c r="F246" s="474"/>
      <c r="G246" s="474"/>
      <c r="H246" s="17"/>
      <c r="I246" s="17"/>
      <c r="J246" s="72"/>
      <c r="K246"/>
      <c r="L246" s="547"/>
    </row>
    <row r="247" spans="1:123" ht="68.25" customHeight="1" x14ac:dyDescent="0.3">
      <c r="A247" s="100">
        <v>6</v>
      </c>
      <c r="B247" s="948" t="s">
        <v>1892</v>
      </c>
      <c r="C247" s="4" t="s">
        <v>161</v>
      </c>
      <c r="D247" s="21" t="s">
        <v>760</v>
      </c>
      <c r="E247" s="371" t="e">
        <f>INDEX('PY1 Data(H)'!$A$1:$CZ$265,MATCH('Unit Data from Audit Worksheet'!$A247,'PY1 Data(H)'!$A$1:$A$258,0),MATCH('Unit Data from Audit Worksheet'!$D$2,'PY1 Data(H)'!$A$1:$CZ$1,0))</f>
        <v>#N/A</v>
      </c>
      <c r="F247" s="793">
        <v>0</v>
      </c>
      <c r="G247" s="401">
        <f>IF(F247&lt;0,"Error: Enter as positive.",)</f>
        <v>0</v>
      </c>
      <c r="H247" s="17"/>
      <c r="I247" s="17"/>
      <c r="J247" s="72"/>
      <c r="K247"/>
      <c r="L247" s="547"/>
    </row>
    <row r="248" spans="1:123" ht="33" customHeight="1" x14ac:dyDescent="0.3">
      <c r="A248" s="100"/>
      <c r="B248" s="489" t="s">
        <v>172</v>
      </c>
      <c r="C248" s="499"/>
      <c r="D248" s="492"/>
      <c r="E248" s="484"/>
      <c r="F248" s="484"/>
      <c r="G248" s="484"/>
      <c r="H248" s="402"/>
      <c r="I248" s="402"/>
      <c r="J248" s="403"/>
      <c r="K248"/>
      <c r="L248" s="547"/>
    </row>
    <row r="249" spans="1:123" ht="141" customHeight="1" x14ac:dyDescent="0.3">
      <c r="A249" s="100">
        <v>541</v>
      </c>
      <c r="B249" s="373" t="s">
        <v>58</v>
      </c>
      <c r="C249" s="373" t="s">
        <v>761</v>
      </c>
      <c r="D249" s="370" t="s">
        <v>762</v>
      </c>
      <c r="E249" s="371" t="e">
        <f>INDEX('PY1 Data(H)'!$A$1:$CZ$265,MATCH('Unit Data from Audit Worksheet'!$A249,'PY1 Data(H)'!$A$1:$A$258,0),MATCH('Unit Data from Audit Worksheet'!$D$2,'PY1 Data(H)'!$A$1:$CZ$1,0))</f>
        <v>#N/A</v>
      </c>
      <c r="F249" s="793">
        <v>0</v>
      </c>
      <c r="G249" s="401"/>
      <c r="H249" s="402"/>
      <c r="I249" s="402"/>
      <c r="J249" s="403"/>
      <c r="K249"/>
      <c r="L249" s="547"/>
    </row>
    <row r="250" spans="1:123" ht="28.5" customHeight="1" x14ac:dyDescent="0.3">
      <c r="A250" s="100"/>
      <c r="B250" s="489" t="s">
        <v>49</v>
      </c>
      <c r="C250" s="499"/>
      <c r="D250" s="492"/>
      <c r="E250" s="503"/>
      <c r="F250" s="503"/>
      <c r="G250" s="503"/>
      <c r="H250" s="402"/>
      <c r="I250" s="402"/>
      <c r="J250" s="403"/>
      <c r="K250"/>
      <c r="L250" s="547"/>
    </row>
    <row r="251" spans="1:123" ht="91.95" customHeight="1" x14ac:dyDescent="0.3">
      <c r="A251" s="100">
        <v>542</v>
      </c>
      <c r="B251" s="373" t="s">
        <v>58</v>
      </c>
      <c r="C251" s="464" t="s">
        <v>763</v>
      </c>
      <c r="D251" s="26" t="s">
        <v>162</v>
      </c>
      <c r="E251" s="371" t="e">
        <f>INDEX('PY1 Data(H)'!$A$1:$CZ$265,MATCH('Unit Data from Audit Worksheet'!$A251,'PY1 Data(H)'!$A$1:$A$258,0),MATCH('Unit Data from Audit Worksheet'!$D$2,'PY1 Data(H)'!$A$1:$CZ$1,0))</f>
        <v>#N/A</v>
      </c>
      <c r="F251" s="793">
        <v>0</v>
      </c>
      <c r="G251" s="401"/>
      <c r="H251" s="402"/>
      <c r="I251" s="433"/>
      <c r="J251" s="433"/>
      <c r="K251"/>
      <c r="L251" s="547"/>
    </row>
    <row r="252" spans="1:123" ht="21.6" customHeight="1" x14ac:dyDescent="0.3">
      <c r="A252" s="100"/>
      <c r="B252" s="489" t="s">
        <v>764</v>
      </c>
      <c r="C252" s="704"/>
      <c r="D252" s="467"/>
      <c r="E252" s="486"/>
      <c r="F252" s="486"/>
      <c r="G252" s="486"/>
      <c r="H252" s="17"/>
      <c r="I252" s="17"/>
      <c r="J252" s="72"/>
      <c r="K252"/>
      <c r="L252" s="547"/>
    </row>
    <row r="253" spans="1:123" ht="12.6" customHeight="1" x14ac:dyDescent="0.3">
      <c r="A253" s="100"/>
      <c r="B253" s="738" t="s">
        <v>12</v>
      </c>
      <c r="C253" s="711"/>
      <c r="D253" s="467"/>
      <c r="E253" s="507"/>
      <c r="F253" s="507"/>
      <c r="G253" s="486"/>
      <c r="H253" s="17"/>
      <c r="I253" s="17"/>
      <c r="J253" s="72"/>
      <c r="K253"/>
      <c r="L253" s="547"/>
    </row>
    <row r="254" spans="1:123" ht="77.25" customHeight="1" x14ac:dyDescent="0.3">
      <c r="A254" s="100">
        <v>528</v>
      </c>
      <c r="B254" s="373" t="s">
        <v>54</v>
      </c>
      <c r="C254" s="4" t="s">
        <v>163</v>
      </c>
      <c r="D254" s="322" t="s">
        <v>1875</v>
      </c>
      <c r="E254" s="371" t="e">
        <f>INDEX('PY1 Data(H)'!$A$1:$CZ$265,MATCH('Unit Data from Audit Worksheet'!$A254,'PY1 Data(H)'!$A$1:$A$258,0),MATCH('Unit Data from Audit Worksheet'!$D$2,'PY1 Data(H)'!$A$1:$CZ$1,0))</f>
        <v>#N/A</v>
      </c>
      <c r="F254" s="793">
        <v>0</v>
      </c>
      <c r="G254" s="401">
        <f>IF(F254="","Error: Unit must enter this information if they levy taxes.",)</f>
        <v>0</v>
      </c>
      <c r="H254" s="434"/>
      <c r="I254" s="17"/>
      <c r="J254" s="72"/>
      <c r="K254"/>
      <c r="L254" s="547"/>
    </row>
    <row r="255" spans="1:123" ht="69" customHeight="1" x14ac:dyDescent="0.3">
      <c r="A255" s="100">
        <v>529</v>
      </c>
      <c r="B255" s="373" t="s">
        <v>54</v>
      </c>
      <c r="C255" s="4" t="s">
        <v>163</v>
      </c>
      <c r="D255" s="322" t="s">
        <v>765</v>
      </c>
      <c r="E255" s="371" t="e">
        <f>INDEX('PY1 Data(H)'!$A$1:$CZ$265,MATCH('Unit Data from Audit Worksheet'!$A255,'PY1 Data(H)'!$A$1:$A$258,0),MATCH('Unit Data from Audit Worksheet'!$D$2,'PY1 Data(H)'!$A$1:$CZ$1,0))</f>
        <v>#N/A</v>
      </c>
      <c r="F255" s="793">
        <v>0</v>
      </c>
      <c r="G255" s="401">
        <f>IF(F255="","Error: Unit must enter this information if they levy taxes.",)</f>
        <v>0</v>
      </c>
      <c r="H255" s="17"/>
      <c r="I255" s="17"/>
      <c r="J255" s="72"/>
      <c r="K255"/>
      <c r="L255" s="547"/>
    </row>
    <row r="256" spans="1:123" ht="69" customHeight="1" x14ac:dyDescent="0.3">
      <c r="A256" s="100">
        <v>530</v>
      </c>
      <c r="B256" s="373" t="s">
        <v>54</v>
      </c>
      <c r="C256" s="4" t="s">
        <v>163</v>
      </c>
      <c r="D256" s="465" t="s">
        <v>766</v>
      </c>
      <c r="E256" s="371" t="e">
        <f>INDEX('PY1 Data(H)'!$A$1:$CZ$265,MATCH('Unit Data from Audit Worksheet'!$A256,'PY1 Data(H)'!$A$1:$A$258,0),MATCH('Unit Data from Audit Worksheet'!$D$2,'PY1 Data(H)'!$A$1:$CZ$1,0))</f>
        <v>#N/A</v>
      </c>
      <c r="F256" s="793">
        <v>0</v>
      </c>
      <c r="G256" s="401">
        <f>IF(F256="","Error: Unit must enter this information if they levy taxes.",)</f>
        <v>0</v>
      </c>
      <c r="H256" s="17"/>
      <c r="I256" s="17"/>
      <c r="J256" s="72"/>
      <c r="K256"/>
      <c r="L256" s="547"/>
    </row>
    <row r="257" spans="1:33" ht="55.5" customHeight="1" x14ac:dyDescent="0.3">
      <c r="A257" s="100">
        <v>531</v>
      </c>
      <c r="B257" s="373" t="s">
        <v>54</v>
      </c>
      <c r="C257" s="4" t="s">
        <v>163</v>
      </c>
      <c r="D257" s="465" t="s">
        <v>767</v>
      </c>
      <c r="E257" s="371" t="e">
        <f>INDEX('PY1 Data(H)'!$A$1:$CZ$265,MATCH('Unit Data from Audit Worksheet'!$A257,'PY1 Data(H)'!$A$1:$A$258,0),MATCH('Unit Data from Audit Worksheet'!$D$2,'PY1 Data(H)'!$A$1:$CZ$1,0))</f>
        <v>#N/A</v>
      </c>
      <c r="F257" s="793">
        <v>0</v>
      </c>
      <c r="G257" s="401">
        <f>IF(F257="","Error: Unit must enter this information if they levy taxes.",)</f>
        <v>0</v>
      </c>
      <c r="H257" s="17"/>
      <c r="I257" s="17"/>
      <c r="J257" s="72"/>
      <c r="K257"/>
      <c r="L257" s="547"/>
    </row>
    <row r="258" spans="1:33" ht="69" customHeight="1" x14ac:dyDescent="0.3">
      <c r="A258" s="100">
        <v>61</v>
      </c>
      <c r="B258" s="4" t="s">
        <v>58</v>
      </c>
      <c r="C258" s="4" t="s">
        <v>163</v>
      </c>
      <c r="D258" s="26" t="s">
        <v>768</v>
      </c>
      <c r="E258" s="800" t="e">
        <f>INDEX('PY1 Data(H)'!$A$1:$CZ$265,MATCH('Unit Data from Audit Worksheet'!$A258,'PY1 Data(H)'!$A$1:$A$258,0),MATCH('Unit Data from Audit Worksheet'!$D$2,'PY1 Data(H)'!$A$1:$CZ$1,0))</f>
        <v>#N/A</v>
      </c>
      <c r="F258" s="801">
        <v>0</v>
      </c>
      <c r="G258" s="401" t="e">
        <f>IF(F258=H258," ","Please check values in account 528, 529, 530 and  531.")</f>
        <v>#DIV/0!</v>
      </c>
      <c r="H258" s="435" t="e">
        <f>ROUND((F254+F255-F256-F257)/(F254+F255)*100,2)</f>
        <v>#DIV/0!</v>
      </c>
      <c r="I258" s="17"/>
      <c r="J258" s="72"/>
      <c r="K258"/>
      <c r="L258" s="547"/>
    </row>
    <row r="259" spans="1:33" ht="69" customHeight="1" x14ac:dyDescent="0.3">
      <c r="A259" s="100">
        <v>102</v>
      </c>
      <c r="B259" s="4" t="s">
        <v>58</v>
      </c>
      <c r="C259" s="4" t="s">
        <v>163</v>
      </c>
      <c r="D259" s="53" t="s">
        <v>769</v>
      </c>
      <c r="E259" s="800" t="e">
        <f>INDEX('PY1 Data(H)'!$A$1:$CZ$265,MATCH('Unit Data from Audit Worksheet'!$A259,'PY1 Data(H)'!$A$1:$A$258,0),MATCH('Unit Data from Audit Worksheet'!$D$2,'PY1 Data(H)'!$A$1:$CZ$1,0))</f>
        <v>#N/A</v>
      </c>
      <c r="F259" s="801">
        <v>0</v>
      </c>
      <c r="G259" s="401" t="e">
        <f>IF(F259=H259," ","Please check values in account 528 and 530.")</f>
        <v>#DIV/0!</v>
      </c>
      <c r="H259" s="435" t="e">
        <f>ROUND((F254-F256)/(F254)*100,2)</f>
        <v>#DIV/0!</v>
      </c>
      <c r="I259" s="17"/>
      <c r="J259" s="72"/>
      <c r="K259"/>
      <c r="L259" s="547"/>
    </row>
    <row r="260" spans="1:33" ht="63.75" customHeight="1" x14ac:dyDescent="0.3">
      <c r="A260" s="100">
        <v>103</v>
      </c>
      <c r="B260" s="4" t="s">
        <v>58</v>
      </c>
      <c r="C260" s="4" t="s">
        <v>163</v>
      </c>
      <c r="D260" s="26" t="s">
        <v>770</v>
      </c>
      <c r="E260" s="800" t="e">
        <f>INDEX('PY1 Data(H)'!$A$1:$CZ$265,MATCH('Unit Data from Audit Worksheet'!$A260,'PY1 Data(H)'!$A$1:$A$258,0),MATCH('Unit Data from Audit Worksheet'!$D$2,'PY1 Data(H)'!$A$1:$CZ$1,0))</f>
        <v>#N/A</v>
      </c>
      <c r="F260" s="801">
        <v>0</v>
      </c>
      <c r="G260" s="401" t="e">
        <f>IF(F260=H260," ","Please check values in account 529 and 531.")</f>
        <v>#DIV/0!</v>
      </c>
      <c r="H260" s="435" t="e">
        <f>ROUND((F255-F257)/F255*100,2)</f>
        <v>#DIV/0!</v>
      </c>
      <c r="I260" s="17"/>
      <c r="J260" s="72"/>
      <c r="K260"/>
      <c r="L260" s="547"/>
      <c r="N260" s="18" t="s">
        <v>555</v>
      </c>
    </row>
    <row r="261" spans="1:33" ht="72" customHeight="1" x14ac:dyDescent="0.3">
      <c r="A261" s="100">
        <v>544</v>
      </c>
      <c r="B261" s="373" t="s">
        <v>58</v>
      </c>
      <c r="C261" s="373" t="s">
        <v>163</v>
      </c>
      <c r="D261" s="21" t="s">
        <v>771</v>
      </c>
      <c r="E261" s="652" t="e">
        <f>INDEX('PY1 Data(H)'!$A$1:$CZ$265,MATCH('Unit Data from Audit Worksheet'!$A261,'PY1 Data(H)'!$A$1:$A$258,0),MATCH('Unit Data from Audit Worksheet'!$D$2,'PY1 Data(H)'!$A$1:$CZ$1,0))</f>
        <v>#N/A</v>
      </c>
      <c r="F261" s="797">
        <v>0</v>
      </c>
      <c r="G261" s="401"/>
      <c r="H261" s="17"/>
      <c r="I261" s="705"/>
      <c r="J261" s="100"/>
      <c r="K261"/>
      <c r="L261" s="547"/>
      <c r="N261" s="18" t="s">
        <v>50</v>
      </c>
    </row>
    <row r="262" spans="1:33" ht="73.5" customHeight="1" x14ac:dyDescent="0.3">
      <c r="A262" s="100">
        <v>545</v>
      </c>
      <c r="B262" s="373" t="s">
        <v>58</v>
      </c>
      <c r="C262" s="373" t="s">
        <v>163</v>
      </c>
      <c r="D262" s="21" t="s">
        <v>772</v>
      </c>
      <c r="E262" s="529"/>
      <c r="F262" s="797">
        <v>0</v>
      </c>
      <c r="G262" s="401"/>
      <c r="H262" s="17"/>
      <c r="I262" s="1023"/>
      <c r="J262" s="127"/>
      <c r="K262"/>
      <c r="L262" s="547"/>
      <c r="N262" s="18" t="s">
        <v>51</v>
      </c>
    </row>
    <row r="263" spans="1:33" ht="66" customHeight="1" x14ac:dyDescent="0.3">
      <c r="A263" s="117">
        <v>624</v>
      </c>
      <c r="B263" s="117" t="s">
        <v>58</v>
      </c>
      <c r="C263" s="117"/>
      <c r="D263" s="116" t="s">
        <v>355</v>
      </c>
      <c r="E263" s="529"/>
      <c r="F263" s="703"/>
      <c r="G263" s="429" t="str">
        <f>IF(+F263&lt;1,"Please answer this question","")</f>
        <v>Please answer this question</v>
      </c>
      <c r="H263" s="17"/>
      <c r="I263" s="705"/>
      <c r="J263" s="100"/>
      <c r="K263"/>
      <c r="L263" s="547"/>
      <c r="N263" s="18" t="s">
        <v>556</v>
      </c>
    </row>
    <row r="264" spans="1:33" ht="70.5" customHeight="1" x14ac:dyDescent="0.3">
      <c r="A264" s="117">
        <v>648</v>
      </c>
      <c r="B264" s="953" t="s">
        <v>1910</v>
      </c>
      <c r="C264" s="117" t="s">
        <v>163</v>
      </c>
      <c r="D264" s="116" t="s">
        <v>657</v>
      </c>
      <c r="E264" s="652" t="e">
        <f>INDEX('PY1 Data(H)'!$A$1:$CZ$265,MATCH('Unit Data from Audit Worksheet'!$A264,'PY1 Data(H)'!$A$1:$A$258,0),MATCH('Unit Data from Audit Worksheet'!$D$2,'PY1 Data(H)'!$A$1:$CZ$1,0))</f>
        <v>#N/A</v>
      </c>
      <c r="F264" s="797">
        <v>0</v>
      </c>
      <c r="G264" s="429"/>
      <c r="H264" s="17"/>
      <c r="I264" s="705"/>
      <c r="J264" s="100"/>
      <c r="K264"/>
      <c r="L264" s="547"/>
    </row>
    <row r="265" spans="1:33" ht="180" customHeight="1" x14ac:dyDescent="0.3">
      <c r="A265" s="117">
        <v>991</v>
      </c>
      <c r="B265" s="953" t="s">
        <v>1907</v>
      </c>
      <c r="C265" s="117"/>
      <c r="D265" s="741" t="s">
        <v>1952</v>
      </c>
      <c r="E265" s="522"/>
      <c r="F265" s="703"/>
      <c r="G265" s="429"/>
      <c r="H265" s="1040" t="s">
        <v>1972</v>
      </c>
      <c r="I265" s="180"/>
      <c r="J265" s="180"/>
      <c r="K265" s="180"/>
      <c r="L265" s="180"/>
      <c r="M265" s="180"/>
      <c r="N265" s="180"/>
      <c r="O265" s="180"/>
      <c r="P265" s="180"/>
      <c r="Q265" s="180"/>
      <c r="R265" s="180"/>
      <c r="S265" s="180"/>
      <c r="T265" s="180"/>
      <c r="U265" s="180"/>
      <c r="V265" s="180"/>
      <c r="W265" s="180"/>
      <c r="X265" s="180"/>
      <c r="Y265" s="180"/>
      <c r="Z265" s="180"/>
      <c r="AA265" s="180"/>
      <c r="AB265" s="180"/>
      <c r="AC265" s="180"/>
      <c r="AD265" s="180"/>
      <c r="AE265" s="180"/>
      <c r="AF265" s="180"/>
      <c r="AG265" s="180"/>
    </row>
    <row r="266" spans="1:33" ht="27.75" customHeight="1" x14ac:dyDescent="0.3">
      <c r="A266" s="100"/>
      <c r="B266" s="489" t="s">
        <v>348</v>
      </c>
      <c r="C266" s="489"/>
      <c r="D266" s="489"/>
      <c r="E266" s="508"/>
      <c r="F266" s="508"/>
      <c r="G266" s="509"/>
      <c r="H266" s="17"/>
      <c r="I266" s="705"/>
      <c r="J266" s="100"/>
      <c r="K266"/>
      <c r="L266" s="547"/>
      <c r="N266" s="18" t="s">
        <v>576</v>
      </c>
    </row>
    <row r="267" spans="1:33" ht="84.6" customHeight="1" x14ac:dyDescent="0.3">
      <c r="A267" s="100">
        <v>620</v>
      </c>
      <c r="B267" s="373" t="s">
        <v>58</v>
      </c>
      <c r="C267" s="373"/>
      <c r="D267" s="739" t="s">
        <v>1545</v>
      </c>
      <c r="E267" s="522"/>
      <c r="F267" s="703"/>
      <c r="G267" s="429" t="str">
        <f>IF(F267&lt;1,"Please answer this question","")</f>
        <v>Please answer this question</v>
      </c>
      <c r="H267" s="17"/>
      <c r="I267" s="705"/>
      <c r="J267" s="100"/>
      <c r="K267"/>
      <c r="L267" s="547"/>
      <c r="N267" s="18" t="s">
        <v>577</v>
      </c>
    </row>
    <row r="268" spans="1:33" ht="123.75" customHeight="1" x14ac:dyDescent="0.3">
      <c r="A268" s="706"/>
      <c r="B268" s="1070" t="s">
        <v>458</v>
      </c>
      <c r="C268" s="1070"/>
      <c r="D268" s="1070"/>
      <c r="E268" s="519"/>
      <c r="F268" s="519"/>
      <c r="G268" s="519"/>
      <c r="H268" s="17"/>
      <c r="I268" s="705"/>
      <c r="J268" s="100"/>
      <c r="K268"/>
      <c r="N268" s="18" t="s">
        <v>461</v>
      </c>
    </row>
    <row r="269" spans="1:33" ht="63" customHeight="1" x14ac:dyDescent="0.3">
      <c r="A269" s="189">
        <v>947</v>
      </c>
      <c r="B269" s="460"/>
      <c r="C269" s="460"/>
      <c r="D269" s="343" t="s">
        <v>420</v>
      </c>
      <c r="E269" s="567"/>
      <c r="F269" s="798"/>
      <c r="G269" s="429" t="str">
        <f>IF(ISBLANK(F269),"Please do not leave blank","")</f>
        <v>Please do not leave blank</v>
      </c>
      <c r="H269" s="17"/>
      <c r="I269" s="324"/>
      <c r="J269" s="186"/>
      <c r="K269"/>
      <c r="L269" s="186"/>
      <c r="N269" s="186"/>
      <c r="P269" s="186"/>
    </row>
    <row r="270" spans="1:33" ht="65.25" customHeight="1" x14ac:dyDescent="0.3">
      <c r="A270" s="189">
        <v>948</v>
      </c>
      <c r="B270" s="460"/>
      <c r="C270" s="460"/>
      <c r="D270" s="343" t="s">
        <v>421</v>
      </c>
      <c r="E270" s="567"/>
      <c r="F270" s="798"/>
      <c r="G270" s="429" t="str">
        <f t="shared" ref="G270:G272" si="4">IF(ISBLANK(F270),"Please do not leave blank","")</f>
        <v>Please do not leave blank</v>
      </c>
      <c r="H270" s="17"/>
      <c r="I270" s="324"/>
      <c r="J270" s="186"/>
      <c r="K270"/>
      <c r="L270" s="186"/>
      <c r="N270" s="186"/>
      <c r="P270" s="186"/>
    </row>
    <row r="271" spans="1:33" ht="76.5" customHeight="1" x14ac:dyDescent="0.3">
      <c r="A271" s="189">
        <v>949</v>
      </c>
      <c r="B271" s="460"/>
      <c r="C271" s="460"/>
      <c r="D271" s="343" t="s">
        <v>422</v>
      </c>
      <c r="E271" s="567"/>
      <c r="F271" s="798"/>
      <c r="G271" s="429" t="str">
        <f t="shared" si="4"/>
        <v>Please do not leave blank</v>
      </c>
      <c r="H271" s="17"/>
      <c r="I271" s="324"/>
      <c r="J271" s="186"/>
      <c r="K271"/>
      <c r="L271" s="186"/>
      <c r="N271" s="186"/>
      <c r="P271" s="186"/>
    </row>
    <row r="272" spans="1:33" ht="60" customHeight="1" x14ac:dyDescent="0.3">
      <c r="A272" s="189">
        <v>950</v>
      </c>
      <c r="B272" s="460"/>
      <c r="C272" s="460"/>
      <c r="D272" s="343" t="s">
        <v>1564</v>
      </c>
      <c r="E272" s="567"/>
      <c r="F272" s="798"/>
      <c r="G272" s="429" t="str">
        <f t="shared" si="4"/>
        <v>Please do not leave blank</v>
      </c>
      <c r="H272" s="17"/>
      <c r="I272" s="324"/>
      <c r="J272" s="186"/>
      <c r="K272"/>
      <c r="L272" s="186"/>
      <c r="N272" s="186"/>
      <c r="P272" s="186"/>
    </row>
    <row r="273" spans="1:16" ht="80.400000000000006" customHeight="1" x14ac:dyDescent="0.3">
      <c r="A273" s="189">
        <v>952</v>
      </c>
      <c r="B273" s="460"/>
      <c r="C273" s="460"/>
      <c r="D273" s="414" t="s">
        <v>1541</v>
      </c>
      <c r="E273" s="567"/>
      <c r="F273" s="799"/>
      <c r="G273" s="429" t="s">
        <v>791</v>
      </c>
      <c r="H273" s="17"/>
      <c r="I273" s="1024"/>
      <c r="J273" s="436"/>
      <c r="K273"/>
      <c r="L273" s="186"/>
      <c r="N273" s="186"/>
      <c r="P273" s="186"/>
    </row>
    <row r="274" spans="1:16" ht="33" customHeight="1" thickBot="1" x14ac:dyDescent="0.35">
      <c r="A274" s="100"/>
      <c r="B274" s="510"/>
      <c r="C274" s="511"/>
      <c r="D274" s="512" t="s">
        <v>411</v>
      </c>
      <c r="E274" s="498"/>
      <c r="F274" s="513"/>
      <c r="G274" s="514"/>
      <c r="H274" s="515"/>
      <c r="I274" s="324"/>
      <c r="J274" s="186"/>
      <c r="K274"/>
      <c r="L274" s="186"/>
      <c r="N274" s="186"/>
      <c r="P274" s="186"/>
    </row>
    <row r="275" spans="1:16" ht="15" thickBot="1" x14ac:dyDescent="0.35">
      <c r="B275" s="1067" t="s">
        <v>459</v>
      </c>
      <c r="C275" s="1068"/>
      <c r="D275" s="1068"/>
      <c r="E275" s="1069"/>
      <c r="F275" s="72"/>
      <c r="G275" s="429"/>
      <c r="H275" s="17"/>
      <c r="I275" s="705"/>
      <c r="J275" s="100"/>
      <c r="K275"/>
    </row>
    <row r="276" spans="1:16" ht="75.75" customHeight="1" x14ac:dyDescent="0.3">
      <c r="B276" s="1074" t="s">
        <v>460</v>
      </c>
      <c r="C276" s="1074"/>
      <c r="D276" s="1074"/>
      <c r="E276" s="1074"/>
      <c r="F276" s="72"/>
      <c r="G276" s="429"/>
      <c r="H276" s="17"/>
      <c r="I276" s="705"/>
      <c r="J276" s="100"/>
      <c r="K276"/>
    </row>
    <row r="277" spans="1:16" ht="15" thickBot="1" x14ac:dyDescent="0.35">
      <c r="A277" s="708"/>
      <c r="B277" s="437"/>
      <c r="C277" s="437"/>
      <c r="D277" s="438"/>
      <c r="E277" s="371"/>
      <c r="F277" s="72"/>
      <c r="G277" s="429"/>
      <c r="H277" s="17"/>
      <c r="I277" s="705"/>
      <c r="J277" s="100"/>
      <c r="K277"/>
    </row>
    <row r="278" spans="1:16" ht="15" thickBot="1" x14ac:dyDescent="0.35">
      <c r="B278" s="149" t="s">
        <v>400</v>
      </c>
      <c r="C278" s="150" t="s">
        <v>401</v>
      </c>
      <c r="D278" s="439"/>
      <c r="E278" s="440"/>
      <c r="F278" s="92"/>
      <c r="G278" s="429"/>
      <c r="H278" s="17"/>
      <c r="I278" s="705"/>
      <c r="J278" s="100"/>
      <c r="K278"/>
    </row>
    <row r="279" spans="1:16" ht="44.25" customHeight="1" thickBot="1" x14ac:dyDescent="0.35">
      <c r="B279" s="153" t="s">
        <v>425</v>
      </c>
      <c r="C279" s="152"/>
      <c r="D279" s="151"/>
      <c r="E279" s="374"/>
      <c r="F279" s="441"/>
      <c r="G279" s="429"/>
      <c r="H279" s="17"/>
      <c r="I279" s="705"/>
      <c r="J279" s="100"/>
      <c r="K279"/>
    </row>
    <row r="280" spans="1:16" ht="44.25" customHeight="1" thickBot="1" x14ac:dyDescent="0.35">
      <c r="B280" s="153"/>
      <c r="C280" s="159"/>
      <c r="D280" s="442" t="s">
        <v>449</v>
      </c>
      <c r="E280" s="443"/>
      <c r="F280" s="444"/>
      <c r="G280" s="444"/>
      <c r="H280" s="17"/>
      <c r="I280" s="705"/>
      <c r="J280" s="100"/>
    </row>
    <row r="281" spans="1:16" ht="32.4" customHeight="1" thickBot="1" x14ac:dyDescent="0.35">
      <c r="A281" s="277">
        <v>960</v>
      </c>
      <c r="B281" s="1081" t="s">
        <v>426</v>
      </c>
      <c r="C281" s="1082"/>
      <c r="D281" s="1030"/>
      <c r="E281" s="642" t="str">
        <f>IF(ISBLANK($D281),"&lt;&lt;&lt;&lt;&lt;&lt;&lt;&lt;&lt;&lt;&lt;&lt;&lt;&lt;&lt;","")</f>
        <v>&lt;&lt;&lt;&lt;&lt;&lt;&lt;&lt;&lt;&lt;&lt;&lt;&lt;&lt;&lt;</v>
      </c>
      <c r="F281" s="643" t="str">
        <f>IF(ISBLANK($D281),"Required","")</f>
        <v>Required</v>
      </c>
      <c r="G281" s="520"/>
      <c r="H281" s="402"/>
      <c r="I281" s="705"/>
      <c r="J281" s="100"/>
    </row>
    <row r="282" spans="1:16" ht="32.4" customHeight="1" thickBot="1" x14ac:dyDescent="0.35">
      <c r="A282" s="277">
        <v>962</v>
      </c>
      <c r="B282" s="1079" t="s">
        <v>402</v>
      </c>
      <c r="C282" s="1080"/>
      <c r="D282" s="1030"/>
      <c r="E282" s="642" t="str">
        <f>IF(ISBLANK($D282),"&lt;&lt;&lt;&lt;&lt;&lt;&lt;&lt;&lt;&lt;&lt;&lt;&lt;&lt;&lt;","")</f>
        <v>&lt;&lt;&lt;&lt;&lt;&lt;&lt;&lt;&lt;&lt;&lt;&lt;&lt;&lt;&lt;</v>
      </c>
      <c r="F282" s="643" t="str">
        <f>IF(ISBLANK($D282),"Required","")</f>
        <v>Required</v>
      </c>
      <c r="H282" s="17"/>
      <c r="I282" s="705"/>
      <c r="J282" s="100"/>
    </row>
    <row r="283" spans="1:16" ht="32.4" customHeight="1" thickBot="1" x14ac:dyDescent="0.35">
      <c r="A283" s="277">
        <v>964</v>
      </c>
      <c r="B283" s="1079" t="s">
        <v>403</v>
      </c>
      <c r="C283" s="1080"/>
      <c r="D283" s="1031"/>
      <c r="E283" s="642" t="str">
        <f>IF(ISBLANK($D283),"&lt;&lt;&lt;&lt;&lt;&lt;&lt;&lt;&lt;&lt;&lt;&lt;&lt;&lt;&lt;","")</f>
        <v>&lt;&lt;&lt;&lt;&lt;&lt;&lt;&lt;&lt;&lt;&lt;&lt;&lt;&lt;&lt;</v>
      </c>
      <c r="F283" s="643" t="str">
        <f>IF(ISBLANK($D283),"Required","")</f>
        <v>Required</v>
      </c>
      <c r="H283" s="17"/>
      <c r="I283" s="1025"/>
      <c r="J283" s="234"/>
    </row>
    <row r="284" spans="1:16" ht="32.4" customHeight="1" thickBot="1" x14ac:dyDescent="0.35">
      <c r="A284" s="641">
        <v>966</v>
      </c>
      <c r="B284" s="1075" t="s">
        <v>1539</v>
      </c>
      <c r="C284" s="1076"/>
      <c r="D284" s="1032"/>
      <c r="E284" s="642" t="str">
        <f>IF(ISBLANK($D284),"&lt;&lt;&lt;&lt;&lt;&lt;&lt;&lt;&lt;&lt;&lt;&lt;&lt;&lt;&lt;","")</f>
        <v>&lt;&lt;&lt;&lt;&lt;&lt;&lt;&lt;&lt;&lt;&lt;&lt;&lt;&lt;&lt;</v>
      </c>
      <c r="F284" s="643" t="str">
        <f>IF(ISBLANK($D284),"Required","")</f>
        <v>Required</v>
      </c>
      <c r="G284"/>
      <c r="H284" s="17"/>
      <c r="I284" s="705"/>
      <c r="J284" s="100"/>
    </row>
    <row r="285" spans="1:16" ht="32.4" customHeight="1" thickBot="1" x14ac:dyDescent="0.35">
      <c r="A285" s="641"/>
      <c r="B285" s="1075" t="s">
        <v>1540</v>
      </c>
      <c r="C285" s="1076"/>
      <c r="D285" s="1030"/>
      <c r="E285" s="644"/>
      <c r="F285" s="643"/>
      <c r="G285"/>
      <c r="H285" s="17"/>
      <c r="I285" s="705"/>
      <c r="J285" s="100"/>
    </row>
    <row r="286" spans="1:16" ht="32.4" customHeight="1" thickBot="1" x14ac:dyDescent="0.35">
      <c r="A286" s="277">
        <v>968</v>
      </c>
      <c r="B286" s="1077" t="s">
        <v>405</v>
      </c>
      <c r="C286" s="1078"/>
      <c r="D286" s="1033"/>
      <c r="E286" s="645" t="str">
        <f>IF(ISBLANK($D286),"&lt;&lt;&lt;&lt;&lt;&lt;&lt;&lt;&lt;&lt;&lt;&lt;&lt;&lt;&lt;","")</f>
        <v>&lt;&lt;&lt;&lt;&lt;&lt;&lt;&lt;&lt;&lt;&lt;&lt;&lt;&lt;&lt;</v>
      </c>
      <c r="F286" s="643" t="str">
        <f>IF(ISBLANK($D286),"Required","")</f>
        <v>Required</v>
      </c>
      <c r="H286" s="17"/>
      <c r="I286" s="705"/>
      <c r="J286" s="100"/>
    </row>
    <row r="287" spans="1:16" ht="17.399999999999999" customHeight="1" x14ac:dyDescent="0.3">
      <c r="A287" s="100"/>
      <c r="B287" s="516"/>
      <c r="C287" s="516"/>
      <c r="D287" s="521" t="s">
        <v>45</v>
      </c>
      <c r="E287" s="517"/>
      <c r="F287" s="517"/>
      <c r="G287" s="517"/>
      <c r="H287" s="518"/>
      <c r="I287" s="100"/>
      <c r="J287" s="100"/>
    </row>
    <row r="288" spans="1:16" x14ac:dyDescent="0.3">
      <c r="A288" s="100"/>
      <c r="B288" s="373"/>
      <c r="C288" s="373"/>
      <c r="D288" s="157"/>
      <c r="E288" s="187"/>
      <c r="F288" s="445"/>
      <c r="G288" s="445"/>
      <c r="H288" s="17"/>
      <c r="I288" s="100"/>
      <c r="J288" s="100"/>
    </row>
    <row r="289" spans="1:10" x14ac:dyDescent="0.3">
      <c r="A289" s="100"/>
      <c r="B289" s="373"/>
      <c r="C289" s="373"/>
      <c r="D289" s="21"/>
      <c r="E289" s="371"/>
      <c r="F289" s="445"/>
      <c r="G289" s="445"/>
      <c r="H289" s="17"/>
      <c r="I289" s="100"/>
      <c r="J289" s="100"/>
    </row>
    <row r="290" spans="1:10" x14ac:dyDescent="0.3">
      <c r="A290" s="709">
        <f>SUBTOTAL(109,A9:A286)</f>
        <v>106600</v>
      </c>
      <c r="E290" s="547"/>
    </row>
    <row r="291" spans="1:10" x14ac:dyDescent="0.3">
      <c r="A291" s="100"/>
      <c r="B291" s="466"/>
      <c r="C291" s="466"/>
      <c r="D291" s="446"/>
      <c r="E291" s="250"/>
      <c r="F291" s="18"/>
      <c r="G291" s="447"/>
      <c r="H291" s="17"/>
      <c r="I291" s="100"/>
      <c r="J291" s="100"/>
    </row>
    <row r="292" spans="1:10" x14ac:dyDescent="0.3">
      <c r="B292" s="277"/>
      <c r="C292" s="277"/>
      <c r="D292" s="446" t="s">
        <v>1669</v>
      </c>
      <c r="E292" s="250" t="e">
        <f>SUM(E9:E267)</f>
        <v>#N/A</v>
      </c>
      <c r="F292" s="186"/>
      <c r="G292" s="447"/>
      <c r="H292" s="17"/>
      <c r="I292" s="100"/>
      <c r="J292" s="100"/>
    </row>
    <row r="293" spans="1:10" x14ac:dyDescent="0.3">
      <c r="B293" s="277"/>
      <c r="C293" s="277"/>
      <c r="D293" s="448"/>
      <c r="E293" s="250" t="e">
        <f>E191</f>
        <v>#N/A</v>
      </c>
      <c r="F293" s="186"/>
      <c r="G293" s="447"/>
      <c r="H293" s="17"/>
      <c r="I293" s="100"/>
      <c r="J293" s="100"/>
    </row>
    <row r="294" spans="1:10" x14ac:dyDescent="0.3">
      <c r="B294" s="277"/>
      <c r="C294" s="277"/>
      <c r="D294" s="448"/>
      <c r="E294" s="250" t="e">
        <f>E198</f>
        <v>#N/A</v>
      </c>
      <c r="F294" s="186"/>
      <c r="G294" s="447"/>
      <c r="H294" s="17"/>
      <c r="I294" s="100"/>
      <c r="J294" s="100"/>
    </row>
    <row r="295" spans="1:10" x14ac:dyDescent="0.3">
      <c r="B295" s="277"/>
      <c r="C295" s="277"/>
      <c r="D295" s="448"/>
      <c r="E295" s="250" t="e">
        <f>E204</f>
        <v>#N/A</v>
      </c>
      <c r="F295" s="186"/>
      <c r="G295" s="447"/>
      <c r="H295" s="17"/>
      <c r="I295" s="100"/>
      <c r="J295" s="100"/>
    </row>
    <row r="296" spans="1:10" x14ac:dyDescent="0.3">
      <c r="B296" s="277"/>
      <c r="C296" s="277"/>
      <c r="D296" s="448"/>
      <c r="E296" s="250" t="e">
        <f>E210</f>
        <v>#N/A</v>
      </c>
      <c r="F296" s="186"/>
      <c r="G296" s="447"/>
      <c r="H296" s="17"/>
      <c r="I296" s="100"/>
      <c r="J296" s="100"/>
    </row>
    <row r="297" spans="1:10" x14ac:dyDescent="0.3">
      <c r="D297" s="314"/>
      <c r="E297" s="250" t="e">
        <f>E211</f>
        <v>#N/A</v>
      </c>
      <c r="F297" s="186"/>
      <c r="H297" s="17"/>
      <c r="I297" s="100"/>
      <c r="J297" s="100"/>
    </row>
    <row r="298" spans="1:10" x14ac:dyDescent="0.3">
      <c r="D298" s="314"/>
      <c r="E298" s="251"/>
      <c r="F298" s="186"/>
      <c r="H298" s="17"/>
      <c r="I298" s="100"/>
      <c r="J298" s="100"/>
    </row>
    <row r="299" spans="1:10" x14ac:dyDescent="0.3">
      <c r="D299" s="314"/>
      <c r="E299" s="250" t="e">
        <f>E292-E293-E294-E295-E296-E297</f>
        <v>#N/A</v>
      </c>
      <c r="F299" s="186"/>
      <c r="H299" s="17"/>
      <c r="I299" s="100"/>
      <c r="J299" s="100"/>
    </row>
    <row r="300" spans="1:10" x14ac:dyDescent="0.3">
      <c r="D300" s="314"/>
      <c r="E300" s="187"/>
      <c r="F300" s="186"/>
      <c r="I300" s="100"/>
      <c r="J300" s="100"/>
    </row>
    <row r="301" spans="1:10" x14ac:dyDescent="0.3">
      <c r="E301" s="249"/>
      <c r="F301" s="186"/>
      <c r="G301" s="450"/>
      <c r="I301" s="100"/>
      <c r="J301" s="100"/>
    </row>
    <row r="302" spans="1:10" x14ac:dyDescent="0.3">
      <c r="E302" s="187"/>
      <c r="F302" s="186"/>
      <c r="I302" s="100"/>
      <c r="J302" s="100"/>
    </row>
    <row r="303" spans="1:10" x14ac:dyDescent="0.3">
      <c r="E303" s="187"/>
      <c r="F303" s="186"/>
      <c r="I303" s="100"/>
      <c r="J303" s="100"/>
    </row>
    <row r="304" spans="1:10" x14ac:dyDescent="0.3">
      <c r="E304" s="187"/>
      <c r="F304" s="186"/>
      <c r="I304" s="100"/>
      <c r="J304" s="100"/>
    </row>
    <row r="305" spans="9:12" x14ac:dyDescent="0.3">
      <c r="I305" s="100"/>
      <c r="J305" s="100"/>
    </row>
    <row r="306" spans="9:12" x14ac:dyDescent="0.3">
      <c r="I306" s="100"/>
      <c r="J306" s="100"/>
    </row>
    <row r="307" spans="9:12" x14ac:dyDescent="0.3">
      <c r="I307" s="100"/>
      <c r="J307" s="100"/>
    </row>
    <row r="308" spans="9:12" x14ac:dyDescent="0.3">
      <c r="I308" s="100"/>
      <c r="J308" s="100"/>
    </row>
    <row r="309" spans="9:12" x14ac:dyDescent="0.3">
      <c r="I309" s="100"/>
      <c r="J309" s="100"/>
    </row>
    <row r="310" spans="9:12" x14ac:dyDescent="0.3">
      <c r="I310" s="100"/>
      <c r="J310" s="100"/>
    </row>
    <row r="311" spans="9:12" x14ac:dyDescent="0.3">
      <c r="I311" s="100"/>
      <c r="J311" s="100"/>
    </row>
    <row r="312" spans="9:12" x14ac:dyDescent="0.3">
      <c r="I312" s="186"/>
      <c r="J312" s="186"/>
    </row>
    <row r="313" spans="9:12" x14ac:dyDescent="0.3">
      <c r="I313" s="186"/>
      <c r="J313" s="186"/>
      <c r="L313" s="187"/>
    </row>
    <row r="314" spans="9:12" x14ac:dyDescent="0.3">
      <c r="I314" s="186"/>
      <c r="J314" s="186"/>
      <c r="L314" s="187"/>
    </row>
    <row r="315" spans="9:12" x14ac:dyDescent="0.3">
      <c r="I315" s="186"/>
      <c r="J315" s="186"/>
      <c r="L315" s="187"/>
    </row>
    <row r="316" spans="9:12" x14ac:dyDescent="0.3">
      <c r="I316" s="186"/>
      <c r="J316" s="186"/>
      <c r="L316" s="187"/>
    </row>
    <row r="317" spans="9:12" x14ac:dyDescent="0.3">
      <c r="I317" s="186"/>
      <c r="J317" s="186"/>
      <c r="L317" s="187"/>
    </row>
    <row r="318" spans="9:12" x14ac:dyDescent="0.3">
      <c r="I318" s="186"/>
      <c r="J318" s="186"/>
      <c r="L318" s="187"/>
    </row>
    <row r="319" spans="9:12" x14ac:dyDescent="0.3">
      <c r="I319" s="100"/>
      <c r="J319" s="100"/>
      <c r="L319" s="187"/>
    </row>
    <row r="320" spans="9:12" x14ac:dyDescent="0.3">
      <c r="I320" s="100"/>
      <c r="J320" s="100"/>
      <c r="K320" s="187"/>
      <c r="L320" s="187"/>
    </row>
    <row r="321" spans="9:12" x14ac:dyDescent="0.3">
      <c r="I321" s="100"/>
      <c r="J321" s="100"/>
      <c r="K321" s="187"/>
      <c r="L321" s="187"/>
    </row>
    <row r="322" spans="9:12" x14ac:dyDescent="0.3">
      <c r="I322" s="100"/>
      <c r="J322" s="100"/>
      <c r="K322" s="187"/>
      <c r="L322" s="187"/>
    </row>
    <row r="323" spans="9:12" x14ac:dyDescent="0.3">
      <c r="I323" s="100"/>
      <c r="J323" s="100"/>
      <c r="K323" s="187"/>
      <c r="L323" s="187"/>
    </row>
    <row r="324" spans="9:12" x14ac:dyDescent="0.3">
      <c r="I324" s="100"/>
      <c r="J324" s="100"/>
      <c r="K324" s="187"/>
      <c r="L324" s="187"/>
    </row>
    <row r="325" spans="9:12" x14ac:dyDescent="0.3">
      <c r="I325" s="100"/>
      <c r="J325" s="100"/>
      <c r="K325" s="187"/>
      <c r="L325" s="187"/>
    </row>
    <row r="326" spans="9:12" x14ac:dyDescent="0.3">
      <c r="I326" s="100"/>
      <c r="J326" s="100"/>
      <c r="K326" s="187"/>
      <c r="L326" s="187"/>
    </row>
    <row r="327" spans="9:12" x14ac:dyDescent="0.3">
      <c r="I327" s="100"/>
      <c r="J327" s="100"/>
      <c r="K327" s="187"/>
      <c r="L327" s="187"/>
    </row>
    <row r="328" spans="9:12" x14ac:dyDescent="0.3">
      <c r="I328" s="186"/>
      <c r="J328" s="186"/>
      <c r="K328" s="187"/>
      <c r="L328" s="187"/>
    </row>
    <row r="329" spans="9:12" x14ac:dyDescent="0.3">
      <c r="I329" s="186"/>
      <c r="J329" s="186"/>
      <c r="K329" s="187"/>
      <c r="L329" s="187"/>
    </row>
    <row r="330" spans="9:12" x14ac:dyDescent="0.3">
      <c r="I330" s="186"/>
      <c r="J330" s="186"/>
      <c r="K330" s="187"/>
      <c r="L330" s="187"/>
    </row>
    <row r="331" spans="9:12" x14ac:dyDescent="0.3">
      <c r="I331" s="186"/>
      <c r="J331" s="186"/>
      <c r="K331" s="187"/>
      <c r="L331" s="187"/>
    </row>
    <row r="332" spans="9:12" x14ac:dyDescent="0.3">
      <c r="I332" s="186"/>
      <c r="J332" s="186"/>
      <c r="K332" s="187"/>
      <c r="L332" s="187"/>
    </row>
    <row r="333" spans="9:12" x14ac:dyDescent="0.3">
      <c r="I333" s="186"/>
      <c r="J333" s="186"/>
      <c r="K333" s="187"/>
      <c r="L333" s="187"/>
    </row>
    <row r="334" spans="9:12" x14ac:dyDescent="0.3">
      <c r="I334" s="186"/>
      <c r="J334" s="186"/>
      <c r="K334" s="187"/>
      <c r="L334" s="187"/>
    </row>
    <row r="335" spans="9:12" x14ac:dyDescent="0.3">
      <c r="I335" s="186"/>
      <c r="J335" s="186"/>
      <c r="K335" s="187"/>
      <c r="L335" s="187"/>
    </row>
    <row r="336" spans="9:12" x14ac:dyDescent="0.3">
      <c r="I336" s="186"/>
      <c r="J336" s="186"/>
      <c r="K336" s="187"/>
      <c r="L336" s="187"/>
    </row>
    <row r="337" spans="8:12" x14ac:dyDescent="0.3">
      <c r="I337" s="186"/>
      <c r="J337" s="186"/>
      <c r="K337" s="187"/>
      <c r="L337" s="187"/>
    </row>
    <row r="338" spans="8:12" x14ac:dyDescent="0.3">
      <c r="I338" s="186"/>
      <c r="J338" s="186"/>
      <c r="K338" s="187"/>
      <c r="L338" s="187"/>
    </row>
    <row r="339" spans="8:12" x14ac:dyDescent="0.3">
      <c r="I339" s="186"/>
      <c r="J339" s="186"/>
      <c r="K339" s="187"/>
      <c r="L339" s="187"/>
    </row>
    <row r="340" spans="8:12" x14ac:dyDescent="0.3">
      <c r="I340" s="186"/>
      <c r="J340" s="186"/>
      <c r="K340" s="187"/>
      <c r="L340" s="187"/>
    </row>
    <row r="341" spans="8:12" x14ac:dyDescent="0.3">
      <c r="I341" s="186"/>
      <c r="J341" s="186"/>
      <c r="K341" s="187"/>
      <c r="L341" s="187"/>
    </row>
    <row r="342" spans="8:12" x14ac:dyDescent="0.3">
      <c r="I342" s="186"/>
      <c r="J342" s="186"/>
      <c r="K342" s="187"/>
      <c r="L342" s="187"/>
    </row>
    <row r="343" spans="8:12" x14ac:dyDescent="0.3">
      <c r="I343" s="186"/>
      <c r="J343" s="186"/>
      <c r="K343" s="187"/>
      <c r="L343" s="187"/>
    </row>
    <row r="344" spans="8:12" x14ac:dyDescent="0.3">
      <c r="I344" s="186"/>
      <c r="J344" s="186"/>
      <c r="K344" s="187"/>
      <c r="L344" s="187"/>
    </row>
    <row r="345" spans="8:12" x14ac:dyDescent="0.3">
      <c r="I345" s="186"/>
      <c r="J345" s="186"/>
      <c r="K345" s="187"/>
      <c r="L345" s="187"/>
    </row>
    <row r="346" spans="8:12" x14ac:dyDescent="0.3">
      <c r="H346" s="309" t="s">
        <v>1863</v>
      </c>
      <c r="I346" s="186"/>
      <c r="J346" s="186"/>
      <c r="K346" s="187"/>
      <c r="L346" s="187"/>
    </row>
    <row r="347" spans="8:12" x14ac:dyDescent="0.3">
      <c r="I347" s="186"/>
      <c r="J347" s="186"/>
      <c r="K347" s="187"/>
      <c r="L347" s="187"/>
    </row>
    <row r="348" spans="8:12" x14ac:dyDescent="0.3">
      <c r="I348" s="186"/>
      <c r="J348" s="186"/>
      <c r="K348" s="187"/>
      <c r="L348" s="187"/>
    </row>
    <row r="349" spans="8:12" x14ac:dyDescent="0.3">
      <c r="I349" s="186"/>
      <c r="J349" s="186"/>
      <c r="K349" s="187"/>
      <c r="L349" s="187"/>
    </row>
    <row r="350" spans="8:12" x14ac:dyDescent="0.3">
      <c r="I350" s="186"/>
      <c r="J350" s="186"/>
      <c r="K350" s="187"/>
      <c r="L350" s="187"/>
    </row>
    <row r="351" spans="8:12" x14ac:dyDescent="0.3">
      <c r="I351" s="186"/>
      <c r="J351" s="186"/>
      <c r="K351" s="187"/>
      <c r="L351" s="187"/>
    </row>
    <row r="352" spans="8:12" x14ac:dyDescent="0.3">
      <c r="I352" s="186"/>
      <c r="J352" s="186"/>
      <c r="K352" s="187"/>
      <c r="L352" s="187"/>
    </row>
    <row r="353" spans="9:12" x14ac:dyDescent="0.3">
      <c r="I353" s="186"/>
      <c r="J353" s="186"/>
      <c r="K353" s="187"/>
      <c r="L353" s="187"/>
    </row>
    <row r="354" spans="9:12" x14ac:dyDescent="0.3">
      <c r="I354" s="186"/>
      <c r="J354" s="186"/>
      <c r="K354" s="187"/>
      <c r="L354" s="187"/>
    </row>
    <row r="355" spans="9:12" x14ac:dyDescent="0.3">
      <c r="I355" s="186"/>
      <c r="J355" s="186"/>
      <c r="K355" s="187"/>
      <c r="L355" s="187"/>
    </row>
    <row r="356" spans="9:12" x14ac:dyDescent="0.3">
      <c r="I356" s="186"/>
      <c r="J356" s="186"/>
      <c r="K356" s="187"/>
      <c r="L356" s="187"/>
    </row>
    <row r="357" spans="9:12" x14ac:dyDescent="0.3">
      <c r="I357" s="186"/>
      <c r="J357" s="186"/>
      <c r="K357" s="187"/>
      <c r="L357" s="187"/>
    </row>
    <row r="358" spans="9:12" x14ac:dyDescent="0.3">
      <c r="I358" s="186"/>
      <c r="J358" s="186"/>
      <c r="K358" s="187"/>
      <c r="L358" s="187"/>
    </row>
    <row r="359" spans="9:12" x14ac:dyDescent="0.3">
      <c r="I359" s="186"/>
      <c r="J359" s="186"/>
      <c r="K359" s="187"/>
      <c r="L359" s="187"/>
    </row>
    <row r="360" spans="9:12" x14ac:dyDescent="0.3">
      <c r="I360" s="186"/>
      <c r="J360" s="186"/>
      <c r="K360" s="187"/>
      <c r="L360" s="187"/>
    </row>
    <row r="361" spans="9:12" x14ac:dyDescent="0.3">
      <c r="I361" s="186"/>
      <c r="J361" s="186"/>
      <c r="K361" s="187"/>
      <c r="L361" s="187"/>
    </row>
    <row r="362" spans="9:12" x14ac:dyDescent="0.3">
      <c r="I362" s="186"/>
      <c r="J362" s="186"/>
      <c r="K362" s="187"/>
      <c r="L362" s="187"/>
    </row>
    <row r="363" spans="9:12" x14ac:dyDescent="0.3">
      <c r="I363" s="186"/>
      <c r="J363" s="186"/>
      <c r="K363" s="187"/>
      <c r="L363" s="187"/>
    </row>
    <row r="364" spans="9:12" x14ac:dyDescent="0.3">
      <c r="I364" s="186"/>
      <c r="J364" s="186"/>
      <c r="K364" s="187"/>
      <c r="L364" s="187"/>
    </row>
    <row r="365" spans="9:12" x14ac:dyDescent="0.3">
      <c r="I365" s="186"/>
      <c r="J365" s="186"/>
      <c r="K365" s="187"/>
      <c r="L365" s="187"/>
    </row>
    <row r="366" spans="9:12" x14ac:dyDescent="0.3">
      <c r="I366" s="186"/>
      <c r="J366" s="186"/>
      <c r="K366" s="187"/>
      <c r="L366" s="187"/>
    </row>
    <row r="367" spans="9:12" x14ac:dyDescent="0.3">
      <c r="I367" s="186"/>
      <c r="J367" s="186"/>
      <c r="K367" s="187"/>
      <c r="L367" s="187"/>
    </row>
    <row r="368" spans="9:12" x14ac:dyDescent="0.3">
      <c r="I368" s="186"/>
      <c r="J368" s="186"/>
      <c r="K368" s="187"/>
      <c r="L368" s="187"/>
    </row>
    <row r="369" spans="9:12" x14ac:dyDescent="0.3">
      <c r="I369" s="186"/>
      <c r="J369" s="186"/>
      <c r="K369" s="187"/>
      <c r="L369" s="187"/>
    </row>
    <row r="370" spans="9:12" x14ac:dyDescent="0.3">
      <c r="I370" s="186"/>
      <c r="J370" s="186"/>
      <c r="K370" s="187"/>
      <c r="L370" s="187"/>
    </row>
    <row r="371" spans="9:12" x14ac:dyDescent="0.3">
      <c r="I371" s="186"/>
      <c r="J371" s="186"/>
      <c r="K371" s="187"/>
      <c r="L371" s="187"/>
    </row>
    <row r="372" spans="9:12" x14ac:dyDescent="0.3">
      <c r="I372" s="186"/>
      <c r="J372" s="186"/>
      <c r="K372" s="187"/>
      <c r="L372" s="187"/>
    </row>
    <row r="373" spans="9:12" x14ac:dyDescent="0.3">
      <c r="I373" s="186"/>
      <c r="J373" s="186"/>
      <c r="K373" s="187"/>
      <c r="L373" s="187"/>
    </row>
    <row r="374" spans="9:12" x14ac:dyDescent="0.3">
      <c r="I374" s="186"/>
      <c r="J374" s="186"/>
      <c r="K374" s="187"/>
      <c r="L374" s="187"/>
    </row>
    <row r="375" spans="9:12" x14ac:dyDescent="0.3">
      <c r="I375" s="186"/>
      <c r="J375" s="186"/>
      <c r="K375" s="187"/>
      <c r="L375" s="187"/>
    </row>
    <row r="376" spans="9:12" x14ac:dyDescent="0.3">
      <c r="I376" s="186"/>
      <c r="J376" s="186"/>
      <c r="K376" s="187"/>
      <c r="L376" s="187"/>
    </row>
    <row r="377" spans="9:12" x14ac:dyDescent="0.3">
      <c r="I377" s="186"/>
      <c r="J377" s="186"/>
      <c r="K377" s="187"/>
      <c r="L377" s="187"/>
    </row>
    <row r="378" spans="9:12" x14ac:dyDescent="0.3">
      <c r="I378" s="186"/>
      <c r="J378" s="186"/>
      <c r="K378" s="187"/>
      <c r="L378" s="187"/>
    </row>
    <row r="379" spans="9:12" x14ac:dyDescent="0.3">
      <c r="I379" s="186"/>
      <c r="J379" s="186"/>
      <c r="K379" s="187"/>
      <c r="L379" s="187"/>
    </row>
    <row r="380" spans="9:12" x14ac:dyDescent="0.3">
      <c r="I380" s="186"/>
      <c r="J380" s="186"/>
      <c r="K380" s="187"/>
      <c r="L380" s="187"/>
    </row>
    <row r="381" spans="9:12" x14ac:dyDescent="0.3">
      <c r="I381" s="186"/>
      <c r="J381" s="186"/>
      <c r="K381" s="187"/>
      <c r="L381" s="187"/>
    </row>
    <row r="382" spans="9:12" x14ac:dyDescent="0.3">
      <c r="I382" s="186"/>
      <c r="J382" s="186"/>
      <c r="K382" s="187"/>
    </row>
    <row r="383" spans="9:12" x14ac:dyDescent="0.3">
      <c r="I383" s="186"/>
      <c r="J383" s="186"/>
      <c r="K383" s="187"/>
    </row>
    <row r="384" spans="9:12" x14ac:dyDescent="0.3">
      <c r="I384" s="186"/>
      <c r="J384" s="186"/>
      <c r="K384" s="187"/>
    </row>
    <row r="385" spans="9:11" x14ac:dyDescent="0.3">
      <c r="I385" s="186"/>
      <c r="J385" s="186"/>
      <c r="K385" s="187"/>
    </row>
    <row r="386" spans="9:11" x14ac:dyDescent="0.3">
      <c r="I386" s="186"/>
      <c r="J386" s="186"/>
      <c r="K386" s="187"/>
    </row>
    <row r="387" spans="9:11" x14ac:dyDescent="0.3">
      <c r="I387" s="186"/>
      <c r="J387" s="186"/>
      <c r="K387" s="187"/>
    </row>
    <row r="388" spans="9:11" x14ac:dyDescent="0.3">
      <c r="I388" s="186"/>
      <c r="J388" s="186"/>
      <c r="K388" s="187"/>
    </row>
    <row r="389" spans="9:11" x14ac:dyDescent="0.3">
      <c r="I389" s="186"/>
      <c r="J389" s="186"/>
    </row>
    <row r="390" spans="9:11" x14ac:dyDescent="0.3">
      <c r="I390" s="186"/>
      <c r="J390" s="186"/>
    </row>
    <row r="391" spans="9:11" x14ac:dyDescent="0.3">
      <c r="I391" s="186"/>
      <c r="J391" s="186"/>
    </row>
    <row r="392" spans="9:11" x14ac:dyDescent="0.3">
      <c r="I392" s="186"/>
      <c r="J392" s="186"/>
    </row>
    <row r="393" spans="9:11" x14ac:dyDescent="0.3">
      <c r="I393" s="186"/>
      <c r="J393" s="186"/>
    </row>
    <row r="394" spans="9:11" x14ac:dyDescent="0.3">
      <c r="I394" s="186"/>
      <c r="J394" s="186"/>
    </row>
    <row r="395" spans="9:11" x14ac:dyDescent="0.3">
      <c r="I395" s="186"/>
      <c r="J395" s="186"/>
    </row>
    <row r="396" spans="9:11" x14ac:dyDescent="0.3">
      <c r="I396" s="186"/>
      <c r="J396" s="186"/>
    </row>
    <row r="397" spans="9:11" x14ac:dyDescent="0.3">
      <c r="I397" s="100"/>
      <c r="J397" s="100"/>
    </row>
    <row r="398" spans="9:11" x14ac:dyDescent="0.3">
      <c r="I398" s="100"/>
      <c r="J398" s="100"/>
    </row>
    <row r="399" spans="9:11" x14ac:dyDescent="0.3">
      <c r="I399" s="100"/>
      <c r="J399" s="100"/>
    </row>
    <row r="400" spans="9:11" x14ac:dyDescent="0.3">
      <c r="I400" s="100"/>
      <c r="J400" s="100"/>
    </row>
    <row r="401" spans="9:10" x14ac:dyDescent="0.3">
      <c r="I401" s="100"/>
      <c r="J401" s="100"/>
    </row>
    <row r="402" spans="9:10" x14ac:dyDescent="0.3">
      <c r="I402" s="100"/>
      <c r="J402" s="100"/>
    </row>
    <row r="403" spans="9:10" x14ac:dyDescent="0.3">
      <c r="I403" s="100"/>
      <c r="J403" s="100"/>
    </row>
    <row r="404" spans="9:10" x14ac:dyDescent="0.3">
      <c r="I404" s="100"/>
      <c r="J404" s="100"/>
    </row>
    <row r="405" spans="9:10" x14ac:dyDescent="0.3">
      <c r="I405" s="100"/>
      <c r="J405" s="100"/>
    </row>
    <row r="406" spans="9:10" x14ac:dyDescent="0.3">
      <c r="I406" s="100"/>
      <c r="J406" s="100"/>
    </row>
  </sheetData>
  <sheetProtection algorithmName="SHA-512" hashValue="fqFumipKgBz0j35s7DUdVxGCNrTUW37XW0mue+Bi6KtC+Hc0DLK9SPWHjq0tORfOac5nGkolGDL5Y0/JT97BEA==" saltValue="Ww5daHlpdgPOasT7icyNNg==" spinCount="100000" sheet="1" formatCells="0"/>
  <dataConsolidate link="1"/>
  <mergeCells count="14">
    <mergeCell ref="B276:E276"/>
    <mergeCell ref="B284:C284"/>
    <mergeCell ref="B286:C286"/>
    <mergeCell ref="B283:C283"/>
    <mergeCell ref="B281:C281"/>
    <mergeCell ref="B282:C282"/>
    <mergeCell ref="B285:C285"/>
    <mergeCell ref="E2:G2"/>
    <mergeCell ref="B2:C2"/>
    <mergeCell ref="B124:D124"/>
    <mergeCell ref="B275:E275"/>
    <mergeCell ref="B268:D268"/>
    <mergeCell ref="B6:G6"/>
    <mergeCell ref="B7:G7"/>
  </mergeCells>
  <phoneticPr fontId="54" type="noConversion"/>
  <conditionalFormatting sqref="H155">
    <cfRule type="cellIs" dxfId="117" priority="106" stopIfTrue="1" operator="notEqual">
      <formula>0</formula>
    </cfRule>
  </conditionalFormatting>
  <conditionalFormatting sqref="G254:G257 G261:G262">
    <cfRule type="cellIs" dxfId="116" priority="105" stopIfTrue="1" operator="notEqual">
      <formula>0</formula>
    </cfRule>
  </conditionalFormatting>
  <conditionalFormatting sqref="H25">
    <cfRule type="cellIs" dxfId="115" priority="104" stopIfTrue="1" operator="notEqual">
      <formula>0</formula>
    </cfRule>
  </conditionalFormatting>
  <conditionalFormatting sqref="H39:H40">
    <cfRule type="cellIs" dxfId="114" priority="103" stopIfTrue="1" operator="notEqual">
      <formula>0</formula>
    </cfRule>
  </conditionalFormatting>
  <conditionalFormatting sqref="H59">
    <cfRule type="cellIs" dxfId="113" priority="102" stopIfTrue="1" operator="notEqual">
      <formula>0</formula>
    </cfRule>
  </conditionalFormatting>
  <conditionalFormatting sqref="H103">
    <cfRule type="cellIs" dxfId="112" priority="100" stopIfTrue="1" operator="notEqual">
      <formula>0</formula>
    </cfRule>
  </conditionalFormatting>
  <conditionalFormatting sqref="H122">
    <cfRule type="cellIs" dxfId="111" priority="99" stopIfTrue="1" operator="notEqual">
      <formula>0</formula>
    </cfRule>
  </conditionalFormatting>
  <conditionalFormatting sqref="H137">
    <cfRule type="cellIs" dxfId="110" priority="98" stopIfTrue="1" operator="notEqual">
      <formula>0</formula>
    </cfRule>
  </conditionalFormatting>
  <conditionalFormatting sqref="H138">
    <cfRule type="cellIs" dxfId="109" priority="97" stopIfTrue="1" operator="notEqual">
      <formula>0</formula>
    </cfRule>
  </conditionalFormatting>
  <conditionalFormatting sqref="G236">
    <cfRule type="cellIs" priority="69" stopIfTrue="1" operator="equal">
      <formula>";;;"</formula>
    </cfRule>
  </conditionalFormatting>
  <conditionalFormatting sqref="G236">
    <cfRule type="cellIs" dxfId="108" priority="68" stopIfTrue="1" operator="equal">
      <formula>0</formula>
    </cfRule>
  </conditionalFormatting>
  <conditionalFormatting sqref="G235">
    <cfRule type="cellIs" priority="66" stopIfTrue="1" operator="equal">
      <formula>";;;"</formula>
    </cfRule>
  </conditionalFormatting>
  <conditionalFormatting sqref="G235">
    <cfRule type="cellIs" dxfId="107" priority="65" stopIfTrue="1" operator="equal">
      <formula>0</formula>
    </cfRule>
  </conditionalFormatting>
  <conditionalFormatting sqref="G235">
    <cfRule type="cellIs" dxfId="106" priority="64" stopIfTrue="1" operator="equal">
      <formula>0</formula>
    </cfRule>
  </conditionalFormatting>
  <conditionalFormatting sqref="G234">
    <cfRule type="cellIs" priority="54" stopIfTrue="1" operator="equal">
      <formula>";;;"</formula>
    </cfRule>
  </conditionalFormatting>
  <conditionalFormatting sqref="G234">
    <cfRule type="cellIs" dxfId="105" priority="53" stopIfTrue="1" operator="equal">
      <formula>0</formula>
    </cfRule>
  </conditionalFormatting>
  <conditionalFormatting sqref="G234">
    <cfRule type="cellIs" dxfId="104" priority="52" stopIfTrue="1" operator="equal">
      <formula>0</formula>
    </cfRule>
  </conditionalFormatting>
  <conditionalFormatting sqref="G229">
    <cfRule type="cellIs" priority="21" stopIfTrue="1" operator="equal">
      <formula>";;;"</formula>
    </cfRule>
  </conditionalFormatting>
  <conditionalFormatting sqref="G229">
    <cfRule type="cellIs" dxfId="103" priority="20" stopIfTrue="1" operator="equal">
      <formula>0</formula>
    </cfRule>
  </conditionalFormatting>
  <conditionalFormatting sqref="G229">
    <cfRule type="cellIs" dxfId="102" priority="19" stopIfTrue="1" operator="equal">
      <formula>0</formula>
    </cfRule>
  </conditionalFormatting>
  <conditionalFormatting sqref="G227">
    <cfRule type="cellIs" priority="18" stopIfTrue="1" operator="equal">
      <formula>";;;"</formula>
    </cfRule>
  </conditionalFormatting>
  <conditionalFormatting sqref="G227">
    <cfRule type="cellIs" dxfId="101" priority="17" stopIfTrue="1" operator="equal">
      <formula>0</formula>
    </cfRule>
  </conditionalFormatting>
  <conditionalFormatting sqref="G227">
    <cfRule type="cellIs" dxfId="100" priority="16" stopIfTrue="1" operator="equal">
      <formula>0</formula>
    </cfRule>
  </conditionalFormatting>
  <conditionalFormatting sqref="G228">
    <cfRule type="cellIs" priority="15" stopIfTrue="1" operator="equal">
      <formula>";;;"</formula>
    </cfRule>
  </conditionalFormatting>
  <conditionalFormatting sqref="G228">
    <cfRule type="cellIs" dxfId="99" priority="14" stopIfTrue="1" operator="equal">
      <formula>0</formula>
    </cfRule>
  </conditionalFormatting>
  <conditionalFormatting sqref="G228">
    <cfRule type="cellIs" dxfId="98" priority="13" stopIfTrue="1" operator="equal">
      <formula>0</formula>
    </cfRule>
  </conditionalFormatting>
  <conditionalFormatting sqref="G231">
    <cfRule type="cellIs" priority="12" stopIfTrue="1" operator="equal">
      <formula>";;;"</formula>
    </cfRule>
  </conditionalFormatting>
  <conditionalFormatting sqref="G231">
    <cfRule type="cellIs" dxfId="97" priority="11" stopIfTrue="1" operator="equal">
      <formula>0</formula>
    </cfRule>
  </conditionalFormatting>
  <conditionalFormatting sqref="G231">
    <cfRule type="cellIs" dxfId="96" priority="10" stopIfTrue="1" operator="equal">
      <formula>0</formula>
    </cfRule>
  </conditionalFormatting>
  <conditionalFormatting sqref="G233">
    <cfRule type="cellIs" priority="4" stopIfTrue="1" operator="equal">
      <formula>";;;"</formula>
    </cfRule>
  </conditionalFormatting>
  <conditionalFormatting sqref="G233">
    <cfRule type="cellIs" dxfId="95" priority="3" stopIfTrue="1" operator="equal">
      <formula>0</formula>
    </cfRule>
  </conditionalFormatting>
  <conditionalFormatting sqref="G233">
    <cfRule type="cellIs" dxfId="94" priority="2" stopIfTrue="1" operator="equal">
      <formula>0</formula>
    </cfRule>
  </conditionalFormatting>
  <conditionalFormatting sqref="H77">
    <cfRule type="expression" dxfId="93" priority="1">
      <formula>$F$77=""</formula>
    </cfRule>
  </conditionalFormatting>
  <dataValidations xWindow="829" yWindow="690" count="19">
    <dataValidation type="list" allowBlank="1" showInputMessage="1" showErrorMessage="1" prompt="Please select your answer from the drop-down list." sqref="F85" xr:uid="{00000000-0002-0000-0100-000005000000}">
      <formula1>$O$2:$O$4</formula1>
    </dataValidation>
    <dataValidation type="list" allowBlank="1" showInputMessage="1" showErrorMessage="1" prompt="Please select your answer from the drop down list." sqref="F267 F263 F224" xr:uid="{FCE57F22-20D9-4CFA-AFE5-1751E216D3C1}">
      <formula1>$P$1:$P$2</formula1>
    </dataValidation>
    <dataValidation type="list" allowBlank="1" showInputMessage="1" showErrorMessage="1" prompt="Please select your answer from the drop down list." sqref="F232" xr:uid="{2CD3BDAD-30EF-425F-BB01-D3FF43CDAA81}">
      <formula1>$P$1:$P$4</formula1>
    </dataValidation>
    <dataValidation type="list" allowBlank="1" showInputMessage="1" showErrorMessage="1" prompt="Please select your response from the drop-down menu." sqref="F271" xr:uid="{DB0EB8F5-2DE0-4833-AFDF-F7BB7A8D56E1}">
      <formula1>$N$8:$N$10</formula1>
    </dataValidation>
    <dataValidation type="list" allowBlank="1" showInputMessage="1" showErrorMessage="1" prompt="Please select your answer from the drop down list." sqref="F265" xr:uid="{7FCE12A8-B6A0-48F9-9BA0-C3D89D188CEE}">
      <formula1>"20,21,22,23"</formula1>
    </dataValidation>
    <dataValidation type="list" operator="greaterThan" allowBlank="1" showInputMessage="1" showErrorMessage="1" prompt="Please select appropriate answer from drop down list." sqref="F185"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177 F173 F157 F30:F41 F27:F28 F46:F61 F63:F76 F160:F169 F86:F103 F105:F122 F125:F138 F142:F155 F81 F181:F183 F20:F25 F78:F79 F43:F44" xr:uid="{B5815DCD-160E-4CA9-A461-76D5F396E4F1}">
      <formula1>ISNUMBER(F20)</formula1>
    </dataValidation>
    <dataValidation type="custom" allowBlank="1" showErrorMessage="1" error="Please enter a numeric value.  If this data is not applicable to your unit of government, the cell should be populated with zero." prompt="_x000a__x000a_" sqref="F221 F200:F203 F206:F209 F194:F197 F218:F219 F214:F216" xr:uid="{DA17F63A-7740-447E-B0DD-1FD94F0BE4C8}">
      <formula1>ISNUMBER(F194)</formula1>
    </dataValidation>
    <dataValidation type="custom" allowBlank="1" showErrorMessage="1" error="Please enter a numeric value.  If this data is not applicable to your unit of government, the cell should be populated with zero." sqref="F264 F254:F262 F251 F247 F226:F229 F233:F235 F249 F238:F245" xr:uid="{6656F482-2030-43E8-B669-24F0F4187CE8}">
      <formula1>ISNUMBER(F226)</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30" xr:uid="{8DAFED68-C7CC-4E4B-B0DE-1B3BA6E17585}">
      <formula1>-ISNUMBER(221)</formula1>
    </dataValidation>
    <dataValidation type="list" allowBlank="1" showInputMessage="1" showErrorMessage="1" prompt="Please select appropriate answer from drop down list." sqref="F184" xr:uid="{15C60609-2D17-4E28-A2AB-41834F9A09EE}">
      <formula1>"1,2"</formula1>
    </dataValidation>
    <dataValidation type="custom" allowBlank="1" showInputMessage="1" showErrorMessage="1" error="Please enter a numeric value. If this data is not applicable to your unit of government, the cell should be populated with zero." sqref="F9:F19" xr:uid="{2B8A4F99-9CD2-4D02-A062-E988EF3799E5}">
      <formula1>ISNUMBER(F9)</formula1>
    </dataValidation>
    <dataValidation type="list" allowBlank="1" showInputMessage="1" showErrorMessage="1" prompt="Please select your answer from drop down list." sqref="F175 F139:F140" xr:uid="{B28A4ED8-9280-4348-99A1-3B99F5248D33}">
      <formula1>$P$1:$P$2</formula1>
    </dataValidation>
    <dataValidation type="custom" allowBlank="1" showErrorMessage="1" error="Please enter a numeric value.  If this data is not applicable to your unit of government, the cell should be populated wih zero." sqref="F231" xr:uid="{EE3DADAD-5656-406D-A714-9D6C22BCD542}">
      <formula1>ISNUMBER(F231)</formula1>
    </dataValidation>
    <dataValidation type="list" allowBlank="1" showInputMessage="1" showErrorMessage="1" error="Please enter a numeric value.  If this data is not applicable to your unit of government, the cell should be populated with zero." prompt="Please select your answer from the drop down list._x000a_" sqref="F171" xr:uid="{D5C6965D-2887-4BB7-9AAD-B150E1F049E6}">
      <formula1>"1, 2,3"</formula1>
    </dataValidation>
    <dataValidation type="list" allowBlank="1" showInputMessage="1" showErrorMessage="1" error="Please enter a numeric value.  If this data is not applicable to your unit of government, the cell should be populated with zero." prompt="Please select your answer from the drop down list." sqref="F170" xr:uid="{CB2C6E7F-7BC8-4064-AC01-4376819B3BBA}">
      <formula1>"1, 2,3"</formula1>
    </dataValidation>
    <dataValidation type="list" allowBlank="1" showInputMessage="1" showErrorMessage="1" prompt="Please select your response from the drop-down menu." sqref="F272" xr:uid="{4AB0A0E0-96FC-4194-B5A7-E7BCBCE1281A}">
      <formula1>$N$1:$N$2</formula1>
    </dataValidation>
    <dataValidation type="list" allowBlank="1" showInputMessage="1" showErrorMessage="1" prompt="Please select your answer  from the drop down list." sqref="F77" xr:uid="{A85FF889-D99F-45B3-A284-6701B76512B6}">
      <formula1>$N$4:$N$6</formula1>
    </dataValidation>
    <dataValidation type="date" operator="greaterThan" allowBlank="1" showInputMessage="1" showErrorMessage="1" sqref="D283" xr:uid="{87987CFB-254C-4218-8C1E-4ED20C439C6B}">
      <formula1>45107</formula1>
    </dataValidation>
  </dataValidations>
  <printOptions headings="1" gridLines="1"/>
  <pageMargins left="0.25" right="0.25" top="0.25" bottom="0.75" header="0.3" footer="0.3"/>
  <pageSetup scale="74" fitToHeight="0" orientation="portrait" r:id="rId1"/>
  <headerFooter>
    <oddFooter>&amp;LPage &amp;P&amp;R&amp;Z&amp;F</oddFooter>
  </headerFooter>
  <ignoredErrors>
    <ignoredError sqref="H258:H260"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Names(H)'!$A$1:$A$80</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sheetPr codeName="Sheet3"/>
  <dimension ref="A1:M52"/>
  <sheetViews>
    <sheetView zoomScaleNormal="100" workbookViewId="0">
      <selection activeCell="C11" sqref="C11"/>
    </sheetView>
  </sheetViews>
  <sheetFormatPr defaultRowHeight="14.4" x14ac:dyDescent="0.3"/>
  <cols>
    <col min="1" max="1" width="5.88671875" style="155" customWidth="1"/>
    <col min="2" max="2" width="86.33203125" customWidth="1"/>
    <col min="3" max="3" width="19" customWidth="1"/>
    <col min="4" max="4" width="50.33203125" style="524" customWidth="1"/>
    <col min="5" max="5" width="25.5546875" customWidth="1"/>
    <col min="6" max="6" width="23" customWidth="1"/>
    <col min="7" max="7" width="32.109375" customWidth="1"/>
    <col min="8" max="9" width="8.88671875" style="624"/>
    <col min="10" max="10" width="1.6640625" style="624" customWidth="1"/>
    <col min="11" max="12" width="8.88671875" style="624" hidden="1" customWidth="1"/>
    <col min="13" max="13" width="13" style="624" customWidth="1"/>
  </cols>
  <sheetData>
    <row r="1" spans="1:13" s="558" customFormat="1" ht="12" customHeight="1" thickBot="1" x14ac:dyDescent="0.35">
      <c r="A1" s="557"/>
      <c r="D1" s="617"/>
      <c r="E1"/>
      <c r="F1"/>
      <c r="G1"/>
      <c r="H1" s="623"/>
      <c r="I1" s="623"/>
      <c r="J1" s="623"/>
      <c r="K1" s="623"/>
      <c r="L1" s="623"/>
      <c r="M1" s="623"/>
    </row>
    <row r="2" spans="1:13" ht="34.950000000000003" customHeight="1" thickBot="1" x14ac:dyDescent="0.35">
      <c r="A2" s="1085" t="s">
        <v>1461</v>
      </c>
      <c r="B2" s="1086"/>
      <c r="C2" s="1086"/>
      <c r="D2" s="1087"/>
    </row>
    <row r="3" spans="1:13" s="558" customFormat="1" ht="8.4" customHeight="1" thickBot="1" x14ac:dyDescent="0.35">
      <c r="A3" s="616"/>
      <c r="D3" s="617"/>
      <c r="E3"/>
      <c r="F3"/>
      <c r="G3"/>
      <c r="H3" s="623"/>
      <c r="I3" s="623"/>
      <c r="J3" s="623"/>
      <c r="K3" s="623"/>
      <c r="L3" s="623"/>
      <c r="M3" s="623"/>
    </row>
    <row r="4" spans="1:13" ht="16.95" customHeight="1" thickBot="1" x14ac:dyDescent="0.35">
      <c r="A4" s="1088" t="s">
        <v>1462</v>
      </c>
      <c r="B4" s="1089"/>
      <c r="C4" s="1089"/>
      <c r="D4" s="1090"/>
    </row>
    <row r="5" spans="1:13" ht="9" customHeight="1" thickBot="1" x14ac:dyDescent="0.35">
      <c r="A5"/>
      <c r="D5"/>
      <c r="H5"/>
      <c r="I5"/>
      <c r="J5"/>
      <c r="K5"/>
      <c r="L5"/>
      <c r="M5"/>
    </row>
    <row r="6" spans="1:13" ht="18.600000000000001" customHeight="1" thickBot="1" x14ac:dyDescent="0.35">
      <c r="A6" s="1091" t="s">
        <v>859</v>
      </c>
      <c r="B6" s="1092"/>
      <c r="C6" s="1092"/>
      <c r="D6" s="1093"/>
    </row>
    <row r="7" spans="1:13" s="180" customFormat="1" ht="7.95" customHeight="1" thickBot="1" x14ac:dyDescent="0.35"/>
    <row r="8" spans="1:13" s="180" customFormat="1" ht="36.6" customHeight="1" thickBot="1" x14ac:dyDescent="0.4">
      <c r="A8" s="1094" t="s">
        <v>1880</v>
      </c>
      <c r="B8" s="1095"/>
      <c r="C8" s="1095"/>
      <c r="D8" s="1096"/>
    </row>
    <row r="9" spans="1:13" s="558" customFormat="1" ht="13.95" customHeight="1" thickBot="1" x14ac:dyDescent="0.35">
      <c r="A9" s="618"/>
      <c r="B9" s="619"/>
      <c r="C9" s="619"/>
      <c r="D9" s="622"/>
      <c r="E9" s="1083" t="s">
        <v>1891</v>
      </c>
      <c r="F9"/>
      <c r="G9"/>
      <c r="H9" s="623"/>
      <c r="I9" s="623"/>
      <c r="J9" s="623"/>
      <c r="K9" s="623"/>
      <c r="L9" s="623"/>
      <c r="M9" s="623"/>
    </row>
    <row r="10" spans="1:13" ht="47.25" customHeight="1" x14ac:dyDescent="0.3">
      <c r="A10" s="756" t="s">
        <v>799</v>
      </c>
      <c r="B10" s="757"/>
      <c r="C10" s="757"/>
      <c r="D10" s="758"/>
      <c r="E10" s="1084"/>
    </row>
    <row r="11" spans="1:13" s="535" customFormat="1" ht="40.200000000000003" customHeight="1" x14ac:dyDescent="0.3">
      <c r="A11" s="648">
        <v>906</v>
      </c>
      <c r="B11" s="649" t="s">
        <v>462</v>
      </c>
      <c r="C11" s="742"/>
      <c r="D11" s="929" t="str">
        <f t="shared" ref="D11:D32" si="0">IF(C11="","This Question must be answered before uploading, the report will not be processed if left blank","")</f>
        <v>This Question must be answered before uploading, the report will not be processed if left blank</v>
      </c>
      <c r="E11" s="1018"/>
      <c r="F11"/>
      <c r="G11"/>
      <c r="H11" s="625"/>
      <c r="I11" s="625"/>
      <c r="J11" s="625"/>
      <c r="K11" s="625"/>
      <c r="L11" s="625"/>
      <c r="M11" s="625"/>
    </row>
    <row r="12" spans="1:13" ht="40.200000000000003" customHeight="1" x14ac:dyDescent="0.3">
      <c r="A12" s="648">
        <v>907</v>
      </c>
      <c r="B12" s="649" t="s">
        <v>1444</v>
      </c>
      <c r="C12" s="742"/>
      <c r="D12" s="929" t="str">
        <f t="shared" si="0"/>
        <v>This Question must be answered before uploading, the report will not be processed if left blank</v>
      </c>
      <c r="E12" s="1019"/>
      <c r="H12" s="625"/>
      <c r="I12" s="625"/>
      <c r="J12" s="625"/>
      <c r="K12" s="625"/>
      <c r="L12" s="625"/>
    </row>
    <row r="13" spans="1:13" s="180" customFormat="1" ht="51.6" customHeight="1" x14ac:dyDescent="0.3">
      <c r="A13" s="777">
        <v>1055</v>
      </c>
      <c r="B13" s="649" t="s">
        <v>1876</v>
      </c>
      <c r="C13" s="742"/>
      <c r="D13" s="712" t="str">
        <f>IF(C13="","This question must be answered before uploading. The report will not be processed if left blank.",IF(C13="Yes","Financial Performance Indicator of Concern that requires a response.  Please provide source document and page number in cell E13.",""))</f>
        <v>This question must be answered before uploading. The report will not be processed if left blank.</v>
      </c>
      <c r="E13" s="1020"/>
      <c r="F13"/>
      <c r="G13"/>
      <c r="H13" s="625"/>
      <c r="I13" s="625"/>
      <c r="J13" s="625"/>
      <c r="K13" s="625"/>
      <c r="L13" s="625"/>
      <c r="M13" s="624"/>
    </row>
    <row r="14" spans="1:13" s="180" customFormat="1" ht="48.6" customHeight="1" x14ac:dyDescent="0.3">
      <c r="A14" s="777">
        <v>1056</v>
      </c>
      <c r="B14" s="649" t="s">
        <v>1441</v>
      </c>
      <c r="C14" s="742"/>
      <c r="D14" s="929" t="str">
        <f>IF(C14="","This question must be answered before uploading. The report will not be processed if left blank.",IF(C14="Yes"," Financial Performance Indicator of Concern that requires a response.  Please provide source document and page number in cell E14.",""))</f>
        <v>This question must be answered before uploading. The report will not be processed if left blank.</v>
      </c>
      <c r="E14" s="1020"/>
      <c r="F14"/>
      <c r="G14"/>
      <c r="H14" s="625"/>
      <c r="I14" s="625"/>
      <c r="J14" s="625"/>
      <c r="K14" s="625"/>
      <c r="L14" s="625"/>
      <c r="M14" s="624"/>
    </row>
    <row r="15" spans="1:13" s="180" customFormat="1" ht="55.2" customHeight="1" x14ac:dyDescent="0.3">
      <c r="A15" s="648">
        <v>1057</v>
      </c>
      <c r="B15" s="620" t="s">
        <v>1887</v>
      </c>
      <c r="C15" s="742"/>
      <c r="D15" s="929" t="str">
        <f>IF(C15="","This question must be answered before uploading. The report will not be processed if left blank.",IF(C15="Yes","Financial Performance Indicator of Concern that requires a response.  Please provide source document and page number in cell E15.",""))</f>
        <v>This question must be answered before uploading. The report will not be processed if left blank.</v>
      </c>
      <c r="E15" s="1019"/>
      <c r="F15"/>
      <c r="G15"/>
      <c r="H15" s="625"/>
      <c r="I15" s="625"/>
      <c r="J15" s="625"/>
      <c r="K15" s="625"/>
      <c r="L15" s="625"/>
      <c r="M15" s="624"/>
    </row>
    <row r="16" spans="1:13" ht="57" customHeight="1" x14ac:dyDescent="0.3">
      <c r="A16" s="777">
        <v>1058</v>
      </c>
      <c r="B16" s="649" t="s">
        <v>1888</v>
      </c>
      <c r="C16" s="742"/>
      <c r="D16" s="929" t="str">
        <f>IF(C16="","This question must be answered before uploading. The report will not be processed if left blank.",IF(C16="Yes","Financial Performance Indicator of Concern that requires a response.  Please provide source document and page number in cell E16.",""))</f>
        <v>This question must be answered before uploading. The report will not be processed if left blank.</v>
      </c>
      <c r="E16" s="1019"/>
    </row>
    <row r="17" spans="1:13" ht="113.4" customHeight="1" x14ac:dyDescent="0.3">
      <c r="A17" s="648">
        <v>1059</v>
      </c>
      <c r="B17" s="620" t="s">
        <v>1912</v>
      </c>
      <c r="C17" s="742"/>
      <c r="D17" s="929" t="str">
        <f>IF(C17="","This question must be answered before uploading. The report will not be processed if left blank.",IF(C17="No","Financial Performance Indicator of Concern that requires a response.  Please provide source document and page number in cell E17.",""))</f>
        <v>This question must be answered before uploading. The report will not be processed if left blank.</v>
      </c>
      <c r="E17" s="1019"/>
      <c r="H17" s="625"/>
      <c r="I17" s="625"/>
      <c r="J17" s="625"/>
      <c r="K17" s="625"/>
      <c r="L17" s="625"/>
    </row>
    <row r="18" spans="1:13" s="180" customFormat="1" ht="113.4" customHeight="1" x14ac:dyDescent="0.3">
      <c r="A18" s="648">
        <v>1078</v>
      </c>
      <c r="B18" s="620" t="s">
        <v>1926</v>
      </c>
      <c r="C18" s="742"/>
      <c r="D18" s="929" t="str">
        <f>IF(C18="","This question must be answered before uploading. The report will not be processed if left blank.",IF(C18="Yes","Please provide source document and page number in cell E18.",""))</f>
        <v>This question must be answered before uploading. The report will not be processed if left blank.</v>
      </c>
      <c r="E18" s="1019"/>
      <c r="F18"/>
      <c r="H18" s="625"/>
      <c r="I18" s="625"/>
      <c r="J18" s="625"/>
      <c r="K18" s="625"/>
      <c r="L18" s="625"/>
      <c r="M18" s="624"/>
    </row>
    <row r="19" spans="1:13" s="180" customFormat="1" ht="78.599999999999994" customHeight="1" x14ac:dyDescent="0.3">
      <c r="A19" s="764">
        <v>1067</v>
      </c>
      <c r="B19" s="621" t="s">
        <v>1672</v>
      </c>
      <c r="C19" s="742"/>
      <c r="D19" s="929" t="str">
        <f>IF(C19="","This question must be answered before uploading. The report will not be processed if left blank.",IF(C19="No","Financial Performance Indicator of Concern that requires a response.  Please provide source document and page number in cell E19.",""))</f>
        <v>This question must be answered before uploading. The report will not be processed if left blank.</v>
      </c>
      <c r="E19" s="1019"/>
      <c r="G19"/>
      <c r="H19" s="625"/>
      <c r="I19" s="625"/>
      <c r="J19" s="625"/>
      <c r="K19" s="625"/>
      <c r="L19" s="625"/>
      <c r="M19" s="624"/>
    </row>
    <row r="20" spans="1:13" ht="40.200000000000003" customHeight="1" x14ac:dyDescent="0.3">
      <c r="A20" s="648">
        <v>951</v>
      </c>
      <c r="B20" s="649" t="s">
        <v>1445</v>
      </c>
      <c r="C20" s="742"/>
      <c r="D20" s="929" t="str">
        <f t="shared" si="0"/>
        <v>This Question must be answered before uploading, the report will not be processed if left blank</v>
      </c>
      <c r="E20" s="1019"/>
      <c r="H20" s="625"/>
      <c r="I20" s="625"/>
      <c r="J20" s="625"/>
      <c r="K20" s="625"/>
      <c r="L20" s="625"/>
    </row>
    <row r="21" spans="1:13" ht="40.200000000000003" customHeight="1" x14ac:dyDescent="0.3">
      <c r="A21" s="648">
        <v>953</v>
      </c>
      <c r="B21" s="620" t="s">
        <v>1571</v>
      </c>
      <c r="C21" s="742"/>
      <c r="D21" s="929" t="str">
        <f t="shared" si="0"/>
        <v>This Question must be answered before uploading, the report will not be processed if left blank</v>
      </c>
      <c r="E21" s="1019"/>
      <c r="H21" s="625"/>
      <c r="I21" s="625"/>
      <c r="J21" s="625"/>
      <c r="K21" s="625"/>
      <c r="L21" s="625"/>
    </row>
    <row r="22" spans="1:13" ht="52.95" customHeight="1" x14ac:dyDescent="0.3">
      <c r="A22" s="777">
        <v>955</v>
      </c>
      <c r="B22" s="620" t="s">
        <v>1572</v>
      </c>
      <c r="C22" s="742"/>
      <c r="D22" s="929" t="str">
        <f>IF(C22="","This question must be answered before uploading. The report will not be processed if left blank.",IF(C22&gt;0,"Financial Performance Indicator of Concern that requires a response.  Please provide source document and page number in E22.",""))</f>
        <v>This question must be answered before uploading. The report will not be processed if left blank.</v>
      </c>
      <c r="E22" s="1019"/>
      <c r="H22" s="625"/>
      <c r="I22" s="625"/>
      <c r="J22" s="625"/>
      <c r="K22" s="625"/>
      <c r="L22" s="625"/>
    </row>
    <row r="23" spans="1:13" ht="48" customHeight="1" x14ac:dyDescent="0.3">
      <c r="A23" s="777">
        <v>957</v>
      </c>
      <c r="B23" s="620" t="s">
        <v>1575</v>
      </c>
      <c r="C23" s="742"/>
      <c r="D23" s="929" t="str">
        <f>IF(C23="","This question must be answered before uploading. The report will not be processed if left blank.",IF(C23&gt;0,"Financial Performance Indicator of Concern that requires a response.",""))</f>
        <v>This question must be answered before uploading. The report will not be processed if left blank.</v>
      </c>
      <c r="E23" s="1019"/>
      <c r="H23" s="625"/>
      <c r="I23" s="625"/>
      <c r="J23" s="625"/>
      <c r="K23" s="625"/>
      <c r="L23" s="625"/>
    </row>
    <row r="24" spans="1:13" s="180" customFormat="1" ht="115.8" customHeight="1" x14ac:dyDescent="0.3">
      <c r="A24" s="648">
        <v>973</v>
      </c>
      <c r="B24" s="620" t="s">
        <v>1889</v>
      </c>
      <c r="C24" s="742"/>
      <c r="D24" s="929" t="str">
        <f>IF(C24="","This question must be answered before uploading. The report will not be processed if left blank.",IF(C24&gt;0,"Financial Performance Indicator of Concern that requires a response.",""))</f>
        <v>This question must be answered before uploading. The report will not be processed if left blank.</v>
      </c>
      <c r="E24" s="1019"/>
      <c r="F24"/>
      <c r="G24"/>
      <c r="H24" s="625"/>
      <c r="I24" s="625"/>
      <c r="J24" s="625"/>
      <c r="K24" s="625"/>
      <c r="L24" s="625"/>
      <c r="M24" s="624"/>
    </row>
    <row r="25" spans="1:13" s="180" customFormat="1" ht="52.8" customHeight="1" x14ac:dyDescent="0.3">
      <c r="A25" s="648">
        <v>959</v>
      </c>
      <c r="B25" s="649" t="s">
        <v>645</v>
      </c>
      <c r="C25" s="742"/>
      <c r="D25" s="929" t="str">
        <f>IF(C25="","This question must be answered before uploading. The report will not be processed if left blank.",IF(C25="Yes","Financial Performance Indicator of Concern that requires a response.  Please provide  source document and page number in cell E25.",""))</f>
        <v>This question must be answered before uploading. The report will not be processed if left blank.</v>
      </c>
      <c r="E25" s="1019"/>
      <c r="F25"/>
      <c r="G25"/>
      <c r="H25" s="625"/>
      <c r="I25" s="625"/>
      <c r="J25" s="625"/>
      <c r="K25" s="625"/>
      <c r="L25" s="625"/>
      <c r="M25" s="624"/>
    </row>
    <row r="26" spans="1:13" ht="93" customHeight="1" x14ac:dyDescent="0.3">
      <c r="A26" s="648">
        <v>974</v>
      </c>
      <c r="B26" s="649" t="s">
        <v>648</v>
      </c>
      <c r="C26" s="742"/>
      <c r="D26" s="929" t="str">
        <f>IF(C26="","This question must be answered before uploading. The report will not be processed if left blank.",IF(C26="Yes","Financial Performance Indicator of Concern that requires a response.  Please provide source document and page number in cell E26.",""))</f>
        <v>This question must be answered before uploading. The report will not be processed if left blank.</v>
      </c>
      <c r="E26" s="1019"/>
      <c r="H26" s="625"/>
      <c r="I26" s="625"/>
      <c r="J26" s="625"/>
      <c r="K26" s="625"/>
      <c r="L26" s="625"/>
    </row>
    <row r="27" spans="1:13" ht="40.200000000000003" customHeight="1" x14ac:dyDescent="0.3">
      <c r="A27" s="648" t="s">
        <v>599</v>
      </c>
      <c r="B27" s="649" t="s">
        <v>2057</v>
      </c>
      <c r="C27" s="742"/>
      <c r="D27" s="929" t="str">
        <f>IF(C27="","This Question must be answered before uploading, the report will not be processed if left blank",IF(C27="Yes","Please submit copy via LGC File Portal.",""))</f>
        <v>This Question must be answered before uploading, the report will not be processed if left blank</v>
      </c>
      <c r="E27" s="1019"/>
      <c r="H27" s="625"/>
      <c r="I27" s="625"/>
      <c r="J27" s="625"/>
      <c r="K27" s="625"/>
      <c r="L27" s="625"/>
    </row>
    <row r="28" spans="1:13" ht="40.200000000000003" customHeight="1" x14ac:dyDescent="0.3">
      <c r="A28" s="648" t="s">
        <v>600</v>
      </c>
      <c r="B28" s="649" t="s">
        <v>1866</v>
      </c>
      <c r="C28" s="742"/>
      <c r="D28" s="929" t="str">
        <f t="shared" ref="D28:D29" si="1">IF(C28="","This Question must be answered before uploading, the report will not be processed if left blank",IF(C28="Yes","Please submit copy via LGC File Portal.",""))</f>
        <v>This Question must be answered before uploading, the report will not be processed if left blank</v>
      </c>
      <c r="E28" s="1019"/>
      <c r="H28" s="625"/>
      <c r="I28" s="625"/>
      <c r="J28" s="625"/>
      <c r="K28" s="625"/>
      <c r="L28" s="625"/>
    </row>
    <row r="29" spans="1:13" ht="40.200000000000003" customHeight="1" x14ac:dyDescent="0.3">
      <c r="A29" s="648" t="s">
        <v>601</v>
      </c>
      <c r="B29" s="649" t="s">
        <v>1869</v>
      </c>
      <c r="C29" s="742"/>
      <c r="D29" s="929" t="str">
        <f t="shared" si="1"/>
        <v>This Question must be answered before uploading, the report will not be processed if left blank</v>
      </c>
      <c r="E29" s="1019"/>
      <c r="H29" s="625"/>
      <c r="I29" s="625"/>
      <c r="J29" s="625"/>
      <c r="K29" s="625"/>
      <c r="L29" s="625"/>
    </row>
    <row r="30" spans="1:13" s="180" customFormat="1" ht="40.200000000000003" customHeight="1" x14ac:dyDescent="0.3">
      <c r="A30" s="648" t="s">
        <v>1939</v>
      </c>
      <c r="B30" s="997" t="s">
        <v>1966</v>
      </c>
      <c r="C30" s="743">
        <v>45473</v>
      </c>
      <c r="D30" s="996" t="s">
        <v>1973</v>
      </c>
      <c r="E30" s="1019"/>
      <c r="H30" s="625"/>
      <c r="I30" s="625"/>
      <c r="J30" s="625"/>
      <c r="K30" s="625"/>
      <c r="L30" s="625"/>
      <c r="M30" s="624"/>
    </row>
    <row r="31" spans="1:13" ht="40.200000000000003" customHeight="1" x14ac:dyDescent="0.3">
      <c r="A31" s="648">
        <v>1079</v>
      </c>
      <c r="B31" s="649" t="s">
        <v>1949</v>
      </c>
      <c r="C31" s="743"/>
      <c r="D31" s="929" t="str">
        <f>IF(C31="","This question must be answered before uploading. The report will not be processed if left blank.",IF(C31&gt;'Performance  Indicators Print'!N30,"Financial Performance Indicator of Concern that requires a response.",""))</f>
        <v>This question must be answered before uploading. The report will not be processed if left blank.</v>
      </c>
      <c r="E31" s="1020"/>
      <c r="F31" s="180"/>
      <c r="H31" s="625"/>
      <c r="I31" s="625"/>
      <c r="J31" s="625"/>
      <c r="K31" s="625"/>
      <c r="L31" s="625"/>
    </row>
    <row r="32" spans="1:13" ht="52.95" customHeight="1" x14ac:dyDescent="0.3">
      <c r="A32" s="648">
        <v>980</v>
      </c>
      <c r="B32" s="649" t="s">
        <v>1953</v>
      </c>
      <c r="C32" s="743"/>
      <c r="D32" s="929" t="str">
        <f t="shared" si="0"/>
        <v>This Question must be answered before uploading, the report will not be processed if left blank</v>
      </c>
      <c r="E32" s="1019"/>
      <c r="H32"/>
      <c r="I32"/>
      <c r="J32"/>
      <c r="K32"/>
      <c r="L32"/>
      <c r="M32"/>
    </row>
    <row r="33" spans="1:13" ht="40.200000000000003" customHeight="1" x14ac:dyDescent="0.3">
      <c r="A33" s="1010">
        <v>975</v>
      </c>
      <c r="B33" s="1026" t="s">
        <v>1890</v>
      </c>
      <c r="C33" s="1011"/>
      <c r="D33" s="1012" t="str">
        <f>IF(C33="","This question must be answered before uploading. The report will not be processed if left blank.",IF(C33="Yes","Financial Performance Indicator of Concern that requires a response.",""))</f>
        <v>This question must be answered before uploading. The report will not be processed if left blank.</v>
      </c>
      <c r="E33" s="1019"/>
      <c r="H33" s="625"/>
      <c r="I33" s="625"/>
      <c r="J33" s="625"/>
      <c r="K33" s="625"/>
      <c r="L33" s="625"/>
    </row>
    <row r="34" spans="1:13" ht="25.95" customHeight="1" x14ac:dyDescent="0.3">
      <c r="A34" s="1014" t="s">
        <v>1566</v>
      </c>
      <c r="B34" s="1015"/>
      <c r="C34" s="1016"/>
      <c r="D34" s="1017"/>
      <c r="E34" s="1021"/>
      <c r="H34"/>
      <c r="I34"/>
      <c r="J34"/>
      <c r="K34"/>
      <c r="L34"/>
      <c r="M34"/>
    </row>
    <row r="35" spans="1:13" ht="43.2" customHeight="1" x14ac:dyDescent="0.3">
      <c r="A35" s="1036">
        <v>1068</v>
      </c>
      <c r="B35" s="1037" t="s">
        <v>1567</v>
      </c>
      <c r="C35" s="1013"/>
      <c r="D35" s="1027" t="str">
        <f>IF(C35="","This Question must be answered before uploading, the report will not be processed if left blank","")</f>
        <v>This Question must be answered before uploading, the report will not be processed if left blank</v>
      </c>
      <c r="E35" s="1021"/>
      <c r="H35"/>
      <c r="I35"/>
      <c r="J35"/>
      <c r="K35"/>
      <c r="L35"/>
      <c r="M35"/>
    </row>
    <row r="36" spans="1:13" ht="43.2" customHeight="1" x14ac:dyDescent="0.3">
      <c r="A36" s="648">
        <v>1069</v>
      </c>
      <c r="B36" s="649" t="s">
        <v>1573</v>
      </c>
      <c r="C36" s="742"/>
      <c r="D36" s="712" t="str">
        <f t="shared" ref="D36:D38" si="2">IF(C36="","This Question must be answered before uploading, the report will not be processed if left blank","")</f>
        <v>This Question must be answered before uploading, the report will not be processed if left blank</v>
      </c>
      <c r="E36" s="1021"/>
      <c r="H36"/>
      <c r="I36"/>
      <c r="J36"/>
      <c r="K36"/>
      <c r="L36"/>
      <c r="M36"/>
    </row>
    <row r="37" spans="1:13" ht="43.2" customHeight="1" x14ac:dyDescent="0.3">
      <c r="A37" s="648">
        <v>1070</v>
      </c>
      <c r="B37" s="649" t="s">
        <v>1878</v>
      </c>
      <c r="C37" s="742"/>
      <c r="D37" s="712" t="str">
        <f t="shared" si="2"/>
        <v>This Question must be answered before uploading, the report will not be processed if left blank</v>
      </c>
      <c r="E37" s="1021"/>
      <c r="H37"/>
      <c r="I37"/>
      <c r="J37"/>
      <c r="K37"/>
      <c r="L37"/>
      <c r="M37"/>
    </row>
    <row r="38" spans="1:13" ht="43.2" customHeight="1" x14ac:dyDescent="0.3">
      <c r="A38" s="648">
        <v>1071</v>
      </c>
      <c r="B38" s="649" t="s">
        <v>1951</v>
      </c>
      <c r="C38" s="771"/>
      <c r="D38" s="712" t="str">
        <f t="shared" si="2"/>
        <v>This Question must be answered before uploading, the report will not be processed if left blank</v>
      </c>
      <c r="E38" s="1021"/>
      <c r="H38"/>
      <c r="I38"/>
      <c r="J38"/>
      <c r="K38"/>
      <c r="L38"/>
      <c r="M38"/>
    </row>
    <row r="39" spans="1:13" x14ac:dyDescent="0.3">
      <c r="A39"/>
      <c r="D39"/>
      <c r="E39" s="524"/>
      <c r="H39"/>
      <c r="I39"/>
      <c r="J39"/>
      <c r="K39"/>
      <c r="L39"/>
      <c r="M39"/>
    </row>
    <row r="40" spans="1:13" s="180" customFormat="1" ht="40.200000000000003" customHeight="1" x14ac:dyDescent="0.3">
      <c r="A40" s="648" t="s">
        <v>602</v>
      </c>
      <c r="B40" s="712" t="str">
        <f>IF(D40="","This Question must be answered before uploading, the report will not be processed if left blank","")</f>
        <v>This Question must be answered before uploading, the report will not be processed if left blank</v>
      </c>
      <c r="C40" s="653" t="s">
        <v>463</v>
      </c>
      <c r="D40" s="1028"/>
      <c r="E40" s="524"/>
      <c r="F40"/>
      <c r="G40"/>
      <c r="H40" s="624"/>
      <c r="I40" s="624"/>
      <c r="J40" s="624"/>
      <c r="K40" s="624"/>
      <c r="L40" s="624"/>
      <c r="M40" s="624"/>
    </row>
    <row r="41" spans="1:13" ht="14.4" customHeight="1" x14ac:dyDescent="0.3">
      <c r="A41" s="557"/>
      <c r="B41" s="617"/>
      <c r="C41" s="558"/>
      <c r="D41" s="1029"/>
      <c r="E41" s="524"/>
    </row>
    <row r="42" spans="1:13" ht="40.200000000000003" customHeight="1" x14ac:dyDescent="0.3">
      <c r="A42" s="648" t="s">
        <v>603</v>
      </c>
      <c r="B42" s="712" t="str">
        <f>IF(D42="","This Question must be answered before uploading, the report will not be processed if left blank","")</f>
        <v>This Question must be answered before uploading, the report will not be processed if left blank</v>
      </c>
      <c r="C42" s="653" t="s">
        <v>464</v>
      </c>
      <c r="D42" s="1028"/>
      <c r="E42" s="524"/>
    </row>
    <row r="43" spans="1:13" ht="14.4" customHeight="1" x14ac:dyDescent="0.3">
      <c r="A43" s="557"/>
      <c r="B43" s="617"/>
      <c r="C43" s="558"/>
      <c r="D43" s="1029"/>
      <c r="E43" s="524"/>
    </row>
    <row r="44" spans="1:13" s="180" customFormat="1" ht="40.200000000000003" customHeight="1" x14ac:dyDescent="0.3">
      <c r="A44" s="648" t="s">
        <v>857</v>
      </c>
      <c r="B44" s="712" t="str">
        <f>IF(D44="","This Question must be answered before uploading, the report will not be processed if left blank","")</f>
        <v>This Question must be answered before uploading, the report will not be processed if left blank</v>
      </c>
      <c r="C44" s="653" t="s">
        <v>1446</v>
      </c>
      <c r="D44" s="759"/>
      <c r="E44" s="524"/>
      <c r="F44"/>
      <c r="G44"/>
      <c r="H44" s="624"/>
      <c r="I44" s="624"/>
      <c r="J44" s="624"/>
      <c r="K44" s="624"/>
      <c r="L44" s="624"/>
      <c r="M44" s="624"/>
    </row>
    <row r="48" spans="1:13" x14ac:dyDescent="0.3">
      <c r="A48" s="744"/>
      <c r="B48" s="745" t="s">
        <v>465</v>
      </c>
      <c r="C48" s="746">
        <v>1</v>
      </c>
      <c r="D48" s="747"/>
    </row>
    <row r="50" spans="1:4" x14ac:dyDescent="0.3">
      <c r="A50" s="748"/>
      <c r="B50" s="749" t="s">
        <v>466</v>
      </c>
      <c r="C50" s="750">
        <v>45535</v>
      </c>
      <c r="D50" s="751"/>
    </row>
    <row r="51" spans="1:4" x14ac:dyDescent="0.3">
      <c r="B51" s="558"/>
      <c r="C51" s="617"/>
    </row>
    <row r="52" spans="1:4" x14ac:dyDescent="0.3">
      <c r="B52" s="558"/>
      <c r="C52" s="617"/>
    </row>
  </sheetData>
  <sheetProtection algorithmName="SHA-512" hashValue="fmh7N9kBfVZ/keaqxGNJ1LJVBohqYVrdMeZq+nat8TAeJADWkPIT3EPP+QpJRexpDZr3mJvHStIoM5ztSBq04Q==" saltValue="GI12xkODa7cxoaLv+LkFZQ==" spinCount="100000" sheet="1" objects="1" scenarios="1"/>
  <dataConsolidate/>
  <mergeCells count="5">
    <mergeCell ref="E9:E10"/>
    <mergeCell ref="A2:D2"/>
    <mergeCell ref="A4:D4"/>
    <mergeCell ref="A6:D6"/>
    <mergeCell ref="A8:D8"/>
  </mergeCells>
  <conditionalFormatting sqref="C13">
    <cfRule type="expression" dxfId="92" priority="27">
      <formula>"IF(C13=""Yes""|"" ""| "" "")"</formula>
    </cfRule>
  </conditionalFormatting>
  <conditionalFormatting sqref="E13">
    <cfRule type="expression" dxfId="91" priority="19">
      <formula>C13="yes"</formula>
    </cfRule>
  </conditionalFormatting>
  <conditionalFormatting sqref="E14">
    <cfRule type="expression" dxfId="90" priority="18">
      <formula>C14="Yes"</formula>
    </cfRule>
  </conditionalFormatting>
  <conditionalFormatting sqref="E15">
    <cfRule type="expression" dxfId="89" priority="17">
      <formula>C15="Yes"</formula>
    </cfRule>
  </conditionalFormatting>
  <conditionalFormatting sqref="E16">
    <cfRule type="expression" dxfId="88" priority="16">
      <formula>C16="Yes"</formula>
    </cfRule>
  </conditionalFormatting>
  <conditionalFormatting sqref="E17">
    <cfRule type="expression" dxfId="87" priority="14">
      <formula>C17="No"</formula>
    </cfRule>
  </conditionalFormatting>
  <conditionalFormatting sqref="E19">
    <cfRule type="expression" dxfId="86" priority="13">
      <formula>C19="No"</formula>
    </cfRule>
  </conditionalFormatting>
  <conditionalFormatting sqref="E25">
    <cfRule type="expression" dxfId="85" priority="11">
      <formula>C25="Yes"</formula>
    </cfRule>
  </conditionalFormatting>
  <conditionalFormatting sqref="E26">
    <cfRule type="expression" dxfId="84" priority="10">
      <formula>C26="Yes"</formula>
    </cfRule>
  </conditionalFormatting>
  <conditionalFormatting sqref="E22">
    <cfRule type="expression" dxfId="83" priority="7">
      <formula>$C$22&gt;0</formula>
    </cfRule>
  </conditionalFormatting>
  <conditionalFormatting sqref="E23">
    <cfRule type="expression" dxfId="82" priority="6">
      <formula>$C$23&gt;0</formula>
    </cfRule>
  </conditionalFormatting>
  <conditionalFormatting sqref="E18">
    <cfRule type="expression" dxfId="81" priority="5">
      <formula>$C$18="Yes"</formula>
    </cfRule>
  </conditionalFormatting>
  <conditionalFormatting sqref="E31">
    <cfRule type="expression" dxfId="80" priority="1">
      <formula>$D$31="Financial Performance Indicator of Concern that requires a response."</formula>
    </cfRule>
  </conditionalFormatting>
  <dataValidations xWindow="697" yWindow="411" count="13">
    <dataValidation type="list" allowBlank="1" showInputMessage="1" showErrorMessage="1" prompt="Please select Yes or No from the drop down list" sqref="C21 C17 C37 C33:C35 C19 C15 C27:C29" xr:uid="{42DC82DB-0AE6-4795-B8A2-67794DECDEAD}">
      <formula1>"Yes, No"</formula1>
    </dataValidation>
    <dataValidation type="whole" operator="greaterThan" allowBlank="1" showInputMessage="1" showErrorMessage="1" prompt="Please enter a whole number.  If there are no findings please enter 0" sqref="C22:C24" xr:uid="{22039F36-BF2D-4D90-ACF3-F17B7FAD9827}">
      <formula1>-1</formula1>
    </dataValidation>
    <dataValidation type="list" allowBlank="1" showInputMessage="1" showErrorMessage="1" prompt="Please select Yes, No or N/A from the drop down list" sqref="C36 C26" xr:uid="{1338E819-A8A7-4AB4-965C-9AAE0E62C78A}">
      <formula1>"Yes, No, N/A"</formula1>
    </dataValidation>
    <dataValidation type="date" operator="greaterThan" showInputMessage="1" showErrorMessage="1" promptTitle="MM/DD/YYYY" prompt="This cannot be blank" sqref="C32" xr:uid="{F2F609DE-2DD8-4C56-AEA4-B39EA636E384}">
      <formula1>45107</formula1>
    </dataValidation>
    <dataValidation type="list" allowBlank="1" showInputMessage="1" showErrorMessage="1" prompt="Please select Yes or No from the drop down list" sqref="C32" xr:uid="{B4C96C02-4742-4E38-B12A-360ABBD230F0}">
      <formula1>"Yes,No"</formula1>
    </dataValidation>
    <dataValidation type="list" allowBlank="1" showInputMessage="1" showErrorMessage="1" sqref="C32" xr:uid="{C1CF9E65-608C-4B9B-B8C1-8E5A300F6B99}">
      <formula1>"Yes, No"</formula1>
    </dataValidation>
    <dataValidation type="list" allowBlank="1" showInputMessage="1" showErrorMessage="1" sqref="C32" xr:uid="{2F6B1B33-D794-41C2-9ACB-1601D80589F6}">
      <formula1>"Yes,No"</formula1>
    </dataValidation>
    <dataValidation type="date" operator="greaterThan" allowBlank="1" showInputMessage="1" showErrorMessage="1" sqref="D44" xr:uid="{C03418DF-3B42-4CD5-A316-291388505573}">
      <formula1>45107</formula1>
    </dataValidation>
    <dataValidation type="list" allowBlank="1" showInputMessage="1" showErrorMessage="1" prompt="Please select Yes or No from the drop down list." sqref="C11:C14 C20" xr:uid="{09FCC64E-5331-4E1E-8B61-60F4B5075DD5}">
      <formula1>"Yes, No"</formula1>
    </dataValidation>
    <dataValidation type="list" allowBlank="1" showInputMessage="1" showErrorMessage="1" prompt="Please select Yes, No or NA _x000a_from the drop down list" sqref="C25" xr:uid="{C0840E4D-A4F7-4799-B300-7B0B69A66EF6}">
      <formula1>"Yes, No, N/A"</formula1>
    </dataValidation>
    <dataValidation type="list" allowBlank="1" showInputMessage="1" showErrorMessage="1" prompt="Please select Yes, No or N/A from the dropdown list." sqref="C18" xr:uid="{BBD61488-A95B-4373-951D-49CD8B12B95C}">
      <formula1>"Yes, No, N/A"</formula1>
    </dataValidation>
    <dataValidation type="list" allowBlank="1" showInputMessage="1" showErrorMessage="1" prompt="Please select Yes or No from the d dropdown list._x000a_" sqref="C16" xr:uid="{468EDED7-463E-41FB-90A2-04A2B2950869}">
      <formula1>"Yes, No"</formula1>
    </dataValidation>
    <dataValidation type="custom" allowBlank="1" showInputMessage="1" showErrorMessage="1" error="Submit Date is prior to fiscal year end." sqref="C31" xr:uid="{9C37E483-AF95-4F2C-88DC-919785B2EB15}">
      <formula1>C30&lt;C31</formula1>
    </dataValidation>
  </dataValidations>
  <pageMargins left="0.7" right="0.7" top="0.75" bottom="0.75" header="0.3" footer="0.3"/>
  <pageSetup scale="51" orientation="portrait" r:id="rId1"/>
  <colBreaks count="1" manualBreakCount="1">
    <brk id="4"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codeName="Sheet5">
    <pageSetUpPr fitToPage="1"/>
  </sheetPr>
  <dimension ref="A1:CC47"/>
  <sheetViews>
    <sheetView showGridLines="0" zoomScale="64" zoomScaleNormal="64" workbookViewId="0">
      <selection activeCell="C5" sqref="C5:E5"/>
    </sheetView>
  </sheetViews>
  <sheetFormatPr defaultColWidth="9.109375" defaultRowHeight="14.4" x14ac:dyDescent="0.3"/>
  <cols>
    <col min="1" max="1" width="6.33203125" style="813" customWidth="1"/>
    <col min="2" max="2" width="57.6640625" style="813" customWidth="1"/>
    <col min="3" max="4" width="14.33203125" style="813" customWidth="1"/>
    <col min="5" max="7" width="17.33203125" style="813" customWidth="1"/>
    <col min="8" max="8" width="71.44140625" style="813" customWidth="1"/>
    <col min="9" max="9" width="56.77734375" style="923" customWidth="1"/>
    <col min="10" max="10" width="46.109375" style="923" customWidth="1"/>
    <col min="11" max="11" width="9.109375" style="922" customWidth="1"/>
    <col min="12" max="12" width="23.6640625" style="810" hidden="1" customWidth="1"/>
    <col min="13" max="13" width="21.109375" style="810" hidden="1" customWidth="1"/>
    <col min="14" max="14" width="24" style="810" hidden="1" customWidth="1"/>
    <col min="15" max="15" width="21" style="810" hidden="1" customWidth="1"/>
    <col min="16" max="16" width="25" style="811" hidden="1" customWidth="1"/>
    <col min="17" max="17" width="25.6640625" style="812" hidden="1" customWidth="1"/>
    <col min="18" max="18" width="33.77734375" style="812" customWidth="1"/>
    <col min="19" max="19" width="9.109375" style="812" customWidth="1"/>
    <col min="20" max="59" width="9.109375" style="812"/>
    <col min="60" max="16384" width="9.109375" style="813"/>
  </cols>
  <sheetData>
    <row r="1" spans="1:78" ht="40.5" customHeight="1" thickBot="1" x14ac:dyDescent="0.35">
      <c r="A1" s="808"/>
      <c r="B1" s="1127" t="s">
        <v>1064</v>
      </c>
      <c r="C1" s="1127"/>
      <c r="D1" s="1127"/>
      <c r="E1" s="1127"/>
      <c r="F1" s="1127"/>
      <c r="G1" s="1127"/>
      <c r="H1" s="1128"/>
      <c r="I1" s="1125"/>
      <c r="J1" s="1126"/>
      <c r="K1" s="809"/>
    </row>
    <row r="2" spans="1:78" ht="72" customHeight="1" thickBot="1" x14ac:dyDescent="0.35">
      <c r="A2" s="814"/>
      <c r="B2" s="1129" t="s">
        <v>1065</v>
      </c>
      <c r="C2" s="1130"/>
      <c r="D2" s="1130"/>
      <c r="E2" s="1130"/>
      <c r="F2" s="1130"/>
      <c r="G2" s="1130"/>
      <c r="H2" s="1131"/>
      <c r="I2" s="1144" t="s">
        <v>1066</v>
      </c>
      <c r="J2" s="1147" t="s">
        <v>1473</v>
      </c>
      <c r="K2" s="815"/>
    </row>
    <row r="3" spans="1:78" ht="15" customHeight="1" thickBot="1" x14ac:dyDescent="0.35">
      <c r="A3" s="816"/>
      <c r="B3" s="817"/>
      <c r="C3" s="818"/>
      <c r="D3" s="818"/>
      <c r="E3" s="818"/>
      <c r="F3" s="818"/>
      <c r="G3" s="819"/>
      <c r="H3" s="820"/>
      <c r="I3" s="1145"/>
      <c r="J3" s="1148"/>
      <c r="K3" s="815"/>
    </row>
    <row r="4" spans="1:78" ht="21.75" customHeight="1" thickBot="1" x14ac:dyDescent="0.35">
      <c r="A4" s="821"/>
      <c r="B4" s="822" t="s">
        <v>598</v>
      </c>
      <c r="C4" s="1132" t="str">
        <f>'Unit Data from Audit Worksheet'!D2</f>
        <v>Select Unit Name from Drop Down List</v>
      </c>
      <c r="D4" s="1133"/>
      <c r="E4" s="1134"/>
      <c r="F4" s="1135" t="s">
        <v>1967</v>
      </c>
      <c r="G4" s="1136"/>
      <c r="H4" s="1139" t="s">
        <v>1470</v>
      </c>
      <c r="I4" s="1145"/>
      <c r="J4" s="1148"/>
      <c r="K4" s="823"/>
      <c r="L4" s="824"/>
    </row>
    <row r="5" spans="1:78" ht="21.6" thickBot="1" x14ac:dyDescent="0.35">
      <c r="A5" s="825"/>
      <c r="B5" s="826" t="s">
        <v>579</v>
      </c>
      <c r="C5" s="1141" t="e">
        <f>'Unit Data from Audit Worksheet'!D3</f>
        <v>#N/A</v>
      </c>
      <c r="D5" s="1142"/>
      <c r="E5" s="1143"/>
      <c r="F5" s="1137"/>
      <c r="G5" s="1138"/>
      <c r="H5" s="1140"/>
      <c r="I5" s="1145"/>
      <c r="J5" s="1148"/>
      <c r="K5" s="827"/>
      <c r="L5" s="828" t="s">
        <v>588</v>
      </c>
    </row>
    <row r="6" spans="1:78" ht="18.75" customHeight="1" x14ac:dyDescent="0.3">
      <c r="A6" s="816"/>
      <c r="B6" s="1150" t="s">
        <v>1423</v>
      </c>
      <c r="C6" s="1150"/>
      <c r="D6" s="1150"/>
      <c r="E6" s="1150"/>
      <c r="F6" s="1150"/>
      <c r="G6" s="1150"/>
      <c r="H6" s="1151"/>
      <c r="I6" s="1145"/>
      <c r="J6" s="1148"/>
      <c r="K6" s="827"/>
      <c r="L6" s="828"/>
    </row>
    <row r="7" spans="1:78" ht="116.25" customHeight="1" thickBot="1" x14ac:dyDescent="0.35">
      <c r="A7" s="829"/>
      <c r="B7" s="1152"/>
      <c r="C7" s="1152"/>
      <c r="D7" s="1152"/>
      <c r="E7" s="1152"/>
      <c r="F7" s="1152"/>
      <c r="G7" s="1152"/>
      <c r="H7" s="1153"/>
      <c r="I7" s="1146"/>
      <c r="J7" s="1149"/>
      <c r="K7" s="827"/>
      <c r="L7" s="828"/>
    </row>
    <row r="8" spans="1:78" ht="185.1" customHeight="1" thickBot="1" x14ac:dyDescent="0.35">
      <c r="A8" s="830"/>
      <c r="B8" s="1119"/>
      <c r="C8" s="1119"/>
      <c r="D8" s="1119"/>
      <c r="E8" s="1119"/>
      <c r="F8" s="1119"/>
      <c r="G8" s="1120"/>
      <c r="H8" s="1156" t="s">
        <v>1069</v>
      </c>
      <c r="I8" s="831"/>
      <c r="J8" s="1154"/>
      <c r="K8" s="827"/>
      <c r="L8" s="832" t="b">
        <f>IF($L$9&gt;10000000,"25%",IF($L$9&gt;999999,"34%",IF($L$9&gt;99999,"71%",IF($L$9&gt;1,"100%"))))</f>
        <v>0</v>
      </c>
      <c r="N8" s="833"/>
    </row>
    <row r="9" spans="1:78" ht="132" customHeight="1" thickBot="1" x14ac:dyDescent="0.35">
      <c r="A9" s="830"/>
      <c r="B9" s="1121"/>
      <c r="C9" s="1121"/>
      <c r="D9" s="1121"/>
      <c r="E9" s="1121"/>
      <c r="F9" s="1121"/>
      <c r="G9" s="1122"/>
      <c r="H9" s="1157"/>
      <c r="I9" s="831"/>
      <c r="J9" s="1155"/>
      <c r="K9" s="827"/>
      <c r="L9" s="832">
        <f>Import!L59+Import!L65+Import!L62-Import!L63-Import!L64-Import!L60</f>
        <v>0</v>
      </c>
      <c r="N9" s="833"/>
    </row>
    <row r="10" spans="1:78" ht="91.8" customHeight="1" thickBot="1" x14ac:dyDescent="0.35">
      <c r="A10" s="834"/>
      <c r="B10" s="1105" t="s">
        <v>1918</v>
      </c>
      <c r="C10" s="1106"/>
      <c r="D10" s="1106"/>
      <c r="E10" s="1106"/>
      <c r="F10" s="835" t="s">
        <v>651</v>
      </c>
      <c r="G10" s="835" t="s">
        <v>847</v>
      </c>
      <c r="H10" s="836"/>
      <c r="I10" s="837"/>
      <c r="J10" s="837"/>
      <c r="K10" s="838"/>
      <c r="L10" s="810">
        <v>2022</v>
      </c>
      <c r="M10" s="824">
        <v>2023</v>
      </c>
      <c r="N10" s="810">
        <v>2024</v>
      </c>
      <c r="O10" s="839"/>
      <c r="P10" s="840"/>
    </row>
    <row r="11" spans="1:78" ht="261.60000000000002" customHeight="1" thickBot="1" x14ac:dyDescent="0.35">
      <c r="A11" s="830" t="s">
        <v>1067</v>
      </c>
      <c r="B11" s="1099"/>
      <c r="C11" s="1100"/>
      <c r="D11" s="1100"/>
      <c r="E11" s="1101"/>
      <c r="F11" s="803" t="b">
        <f>IF($L$9&gt;10000000,"25% -- Average of similar units is 46%",IF($L$9&gt;999999,"34% -- Average of similar units is 63%",IF($L$9&gt;99999,"71% -- Average of similar units is 132%",IF($L$9&gt;1,"100 %-- Average of similar units is 260%"))))</f>
        <v>0</v>
      </c>
      <c r="G11" s="954" t="str">
        <f>N11</f>
        <v/>
      </c>
      <c r="H11" s="936" t="s">
        <v>1673</v>
      </c>
      <c r="I11" s="842" t="s">
        <v>1530</v>
      </c>
      <c r="J11" s="805"/>
      <c r="K11" s="827"/>
      <c r="L11" s="960" t="e">
        <f>IFERROR(HLOOKUP(C5,'PY2 Data(H)'!$D$2:$CZ$278,275,FALSE),#N/A)</f>
        <v>#N/A</v>
      </c>
      <c r="M11" s="844" t="e">
        <f>IFERROR(HLOOKUP(C5,'PY1 Data(H)'!$D$2:$CZ$279,277,FALSE),#N/A)</f>
        <v>#N/A</v>
      </c>
      <c r="N11" s="845" t="str">
        <f>IFERROR((Import!L38+Import!L39-Import!L43-Import!L44-Import!L196-Import!L48+Import!L69)/(Import!L59+Import!L65+Import!L62-Import!L63-Import!L64-Import!L60),"")</f>
        <v/>
      </c>
      <c r="O11" s="846" t="e">
        <f>IF(N11&lt;VALUE(L8),1,0)</f>
        <v>#VALUE!</v>
      </c>
      <c r="P11" s="840"/>
    </row>
    <row r="12" spans="1:78" ht="27.75" customHeight="1" thickBot="1" x14ac:dyDescent="0.35">
      <c r="A12" s="830"/>
      <c r="B12" s="1123" t="s">
        <v>846</v>
      </c>
      <c r="C12" s="1124"/>
      <c r="D12" s="1124"/>
      <c r="E12" s="1124"/>
      <c r="F12" s="835" t="s">
        <v>651</v>
      </c>
      <c r="G12" s="835" t="s">
        <v>847</v>
      </c>
      <c r="H12" s="847"/>
      <c r="I12" s="842"/>
      <c r="J12" s="848"/>
      <c r="K12" s="827"/>
      <c r="L12" s="843"/>
      <c r="M12" s="845"/>
      <c r="N12" s="845"/>
      <c r="P12" s="840"/>
    </row>
    <row r="13" spans="1:78" ht="95.25" customHeight="1" thickBot="1" x14ac:dyDescent="0.35">
      <c r="A13" s="830" t="s">
        <v>1068</v>
      </c>
      <c r="B13" s="1102" t="s">
        <v>1884</v>
      </c>
      <c r="C13" s="1103"/>
      <c r="D13" s="1103"/>
      <c r="E13" s="1104"/>
      <c r="F13" s="803" t="s">
        <v>1465</v>
      </c>
      <c r="G13" s="971" t="b">
        <f>IF(AND(L13="Operations",M13&lt;0),"Operations",IF(AND(L13="Capital",M13&lt;0),"Capital",IF(L13="N/A","N/A")))</f>
        <v>0</v>
      </c>
      <c r="H13" s="847" t="s">
        <v>1471</v>
      </c>
      <c r="I13" s="849" t="s">
        <v>1917</v>
      </c>
      <c r="J13" s="805"/>
      <c r="K13" s="827"/>
      <c r="L13" s="934">
        <f>'Unit Data from Audit Worksheet'!F77</f>
        <v>0</v>
      </c>
      <c r="M13" s="935">
        <f>'Unit Data from Audit Worksheet'!F76</f>
        <v>0</v>
      </c>
      <c r="N13" s="845"/>
      <c r="O13" s="839"/>
      <c r="P13" s="840"/>
    </row>
    <row r="14" spans="1:78" ht="177" customHeight="1" thickBot="1" x14ac:dyDescent="0.35">
      <c r="A14" s="830" t="s">
        <v>1070</v>
      </c>
      <c r="B14" s="1102" t="s">
        <v>1466</v>
      </c>
      <c r="C14" s="1103"/>
      <c r="D14" s="1103"/>
      <c r="E14" s="1104"/>
      <c r="F14" s="803" t="s">
        <v>1463</v>
      </c>
      <c r="G14" s="850">
        <f>Import!L51</f>
        <v>0</v>
      </c>
      <c r="H14" s="847" t="s">
        <v>1464</v>
      </c>
      <c r="I14" s="849" t="s">
        <v>1479</v>
      </c>
      <c r="J14" s="805"/>
      <c r="K14" s="827"/>
      <c r="L14" s="845"/>
      <c r="M14" s="845"/>
      <c r="N14" s="845"/>
      <c r="O14" s="839"/>
      <c r="P14" s="840"/>
    </row>
    <row r="15" spans="1:78" ht="81" customHeight="1" thickBot="1" x14ac:dyDescent="0.35">
      <c r="A15" s="851"/>
      <c r="B15" s="1158" t="s">
        <v>1919</v>
      </c>
      <c r="C15" s="1158"/>
      <c r="D15" s="1158"/>
      <c r="E15" s="1105"/>
      <c r="F15" s="835" t="s">
        <v>651</v>
      </c>
      <c r="G15" s="835" t="s">
        <v>847</v>
      </c>
      <c r="H15" s="852" t="s">
        <v>1072</v>
      </c>
      <c r="I15" s="853"/>
      <c r="J15" s="854"/>
      <c r="K15" s="827"/>
      <c r="L15" s="978" t="e">
        <f>HLOOKUP($C$5,'PY2 Data(H)'!$D$2:$CZ$276,236,FALSE)</f>
        <v>#N/A</v>
      </c>
      <c r="M15" s="856" t="e">
        <f>HLOOKUP($C$5,'PY1 Data(H)'!$D$2:$CZ$279,230,FALSE)</f>
        <v>#N/A</v>
      </c>
      <c r="N15" s="857" t="e">
        <f>Import!L240</f>
        <v>#N/A</v>
      </c>
      <c r="O15" s="858"/>
      <c r="P15" s="962"/>
      <c r="Q15" s="963"/>
      <c r="R15" s="859"/>
      <c r="S15" s="859"/>
      <c r="T15" s="859"/>
      <c r="U15" s="859"/>
      <c r="V15" s="859"/>
      <c r="W15" s="859"/>
      <c r="X15" s="859"/>
      <c r="Y15" s="859"/>
      <c r="Z15" s="859"/>
      <c r="AA15" s="859"/>
      <c r="AB15" s="859"/>
      <c r="AC15" s="859"/>
      <c r="AD15" s="859"/>
      <c r="AE15" s="859"/>
      <c r="AF15" s="859"/>
      <c r="AG15" s="859"/>
      <c r="AH15" s="859"/>
      <c r="AI15" s="859"/>
      <c r="AJ15" s="859"/>
      <c r="AK15" s="859"/>
      <c r="AL15" s="859"/>
      <c r="AM15" s="859"/>
      <c r="AN15" s="859"/>
      <c r="AO15" s="859"/>
      <c r="AP15" s="859"/>
      <c r="AQ15" s="859"/>
      <c r="AR15" s="859"/>
      <c r="AS15" s="859"/>
      <c r="AT15" s="859"/>
      <c r="AU15" s="859"/>
      <c r="AV15" s="859"/>
      <c r="AW15" s="859"/>
      <c r="AX15" s="859"/>
      <c r="AY15" s="859"/>
      <c r="AZ15" s="859"/>
      <c r="BA15" s="859"/>
      <c r="BB15" s="859"/>
      <c r="BC15" s="859"/>
      <c r="BD15" s="859"/>
      <c r="BE15" s="859"/>
      <c r="BF15" s="859"/>
      <c r="BG15" s="859"/>
      <c r="BH15" s="860"/>
      <c r="BI15" s="860"/>
      <c r="BJ15" s="860"/>
      <c r="BK15" s="860"/>
      <c r="BL15" s="860"/>
      <c r="BM15" s="860"/>
      <c r="BN15" s="860"/>
      <c r="BO15" s="860"/>
      <c r="BP15" s="860"/>
      <c r="BQ15" s="860"/>
      <c r="BR15" s="860"/>
      <c r="BS15" s="860"/>
      <c r="BT15" s="860"/>
      <c r="BU15" s="860"/>
      <c r="BV15" s="860"/>
      <c r="BW15" s="860"/>
      <c r="BX15" s="860"/>
      <c r="BY15" s="860"/>
      <c r="BZ15" s="860"/>
    </row>
    <row r="16" spans="1:78" ht="202.5" customHeight="1" thickBot="1" x14ac:dyDescent="0.35">
      <c r="A16" s="830" t="s">
        <v>1071</v>
      </c>
      <c r="B16" s="861"/>
      <c r="C16" s="862"/>
      <c r="D16" s="862"/>
      <c r="E16" s="863"/>
      <c r="F16" s="864" t="s">
        <v>580</v>
      </c>
      <c r="G16" s="955" t="e">
        <f>N16</f>
        <v>#DIV/0!</v>
      </c>
      <c r="H16" s="841" t="s">
        <v>848</v>
      </c>
      <c r="I16" s="849" t="s">
        <v>582</v>
      </c>
      <c r="J16" s="805"/>
      <c r="K16" s="827"/>
      <c r="L16" s="967" t="e">
        <f>IF(AND(HLOOKUP($C$5,'PY2 Data(H)'!$D$2:$CZ$277,236,FALSE)=0.01,(HLOOKUP($C$5,'PY2 Data(H)'!$D$2:$CZ$277,265,FALSE)&gt;0)),P16,#N/A)</f>
        <v>#N/A</v>
      </c>
      <c r="M16" s="968" t="e">
        <f>IF(AND(HLOOKUP($C$5,'PY1 Data(H)'!$D$2:$CZ$279,230,FALSE)=0.01,(HLOOKUP($C$5,'PY1 Data(H)'!$D$2:$CZ$279,267,FALSE)&gt;0)),Q16,#N/A)</f>
        <v>#N/A</v>
      </c>
      <c r="N16" s="857" t="e">
        <f>(+Import!L76-Import!L77-Import!L74-Import!L75)/(Import!L80-Import!L81-Import!L82-Import!L83-Import!L$84-Import!L85-Import!L79)</f>
        <v>#DIV/0!</v>
      </c>
      <c r="O16" s="961"/>
      <c r="P16" s="969" t="e">
        <f>HLOOKUP($C$5,'PY2 Data(H)'!$D$2:$CZ$276,265,FALSE)</f>
        <v>#N/A</v>
      </c>
      <c r="Q16" s="966" t="e">
        <f>HLOOKUP($C$5,'PY1 Data(H)'!$D$2:$CZ$279,267,FALSE)</f>
        <v>#N/A</v>
      </c>
      <c r="R16"/>
    </row>
    <row r="17" spans="1:81" ht="27.75" customHeight="1" thickBot="1" x14ac:dyDescent="0.35">
      <c r="A17" s="834"/>
      <c r="B17" s="865" t="s">
        <v>1074</v>
      </c>
      <c r="C17" s="866">
        <v>2022</v>
      </c>
      <c r="D17" s="866">
        <v>2023</v>
      </c>
      <c r="E17" s="866">
        <v>2024</v>
      </c>
      <c r="F17" s="835" t="s">
        <v>651</v>
      </c>
      <c r="G17" s="835" t="s">
        <v>847</v>
      </c>
      <c r="H17" s="867"/>
      <c r="I17" s="853"/>
      <c r="J17" s="854"/>
      <c r="K17" s="827"/>
      <c r="L17" s="857"/>
      <c r="M17" s="857"/>
      <c r="N17" s="857"/>
      <c r="P17" s="964"/>
      <c r="Q17" s="965"/>
    </row>
    <row r="18" spans="1:81" ht="93.6" customHeight="1" thickBot="1" x14ac:dyDescent="0.35">
      <c r="A18" s="830" t="s">
        <v>1073</v>
      </c>
      <c r="B18" s="868" t="s">
        <v>1481</v>
      </c>
      <c r="C18" s="850" t="e">
        <f>IF(L15=0,"N/A",L18)</f>
        <v>#N/A</v>
      </c>
      <c r="D18" s="850" t="e">
        <f>IF(M15=0,"N/A",M18)</f>
        <v>#N/A</v>
      </c>
      <c r="E18" s="869" t="e">
        <f>IF(N15=0,"N/A",N18)</f>
        <v>#N/A</v>
      </c>
      <c r="F18" s="803" t="s">
        <v>849</v>
      </c>
      <c r="G18" s="956" t="e">
        <f>E18</f>
        <v>#N/A</v>
      </c>
      <c r="H18" s="841" t="s">
        <v>1556</v>
      </c>
      <c r="I18" s="849" t="s">
        <v>1558</v>
      </c>
      <c r="J18" s="805"/>
      <c r="K18" s="827"/>
      <c r="L18" s="975" t="e">
        <f>IF(HLOOKUP($C$5,'PY2 Data(H)'!$D$2:$CZ$277,266,FALSE)=0,"Prior year data not submitted as of workbook published date.",(HLOOKUP($C$5,'PY2 Data(H)'!$D$2:$CZ$277,266,FALSE)))</f>
        <v>#N/A</v>
      </c>
      <c r="M18" s="1045" t="e">
        <f>IF(HLOOKUP($C$5,'PY1 Data(H)'!$D$2:$CZ$279,268,FALSE)=0,"Prior year data not submitted as of workbook published date.",(HLOOKUP($C$5,'PY1 Data(H)'!$D$2:$CZ$279,268,FALSE)))</f>
        <v>#N/A</v>
      </c>
      <c r="N18" s="870">
        <f>+Import!L109-Import!L111+Import!L110-Import!L140-Import!L112</f>
        <v>0</v>
      </c>
      <c r="Q18" s="1058"/>
    </row>
    <row r="19" spans="1:81" ht="124.2" customHeight="1" thickBot="1" x14ac:dyDescent="0.35">
      <c r="A19" s="830" t="s">
        <v>1075</v>
      </c>
      <c r="B19" s="871" t="s">
        <v>1570</v>
      </c>
      <c r="C19" s="931" t="e">
        <f>IF(L15=0,"N/A",L19)</f>
        <v>#N/A</v>
      </c>
      <c r="D19" s="931" t="e">
        <f>IF(M15=0,"N/A",M19)</f>
        <v>#N/A</v>
      </c>
      <c r="E19" s="872" t="e">
        <f>IF(N15=0,"N/A",N19)</f>
        <v>#N/A</v>
      </c>
      <c r="F19" s="803" t="s">
        <v>795</v>
      </c>
      <c r="G19" s="957" t="e">
        <f>E19</f>
        <v>#N/A</v>
      </c>
      <c r="H19" s="841" t="s">
        <v>1867</v>
      </c>
      <c r="I19" s="849" t="s">
        <v>1561</v>
      </c>
      <c r="J19" s="806"/>
      <c r="K19" s="827"/>
      <c r="L19" s="977" t="e">
        <f>IF(P19="Blank","Prior year data not submitted as of workbook published date.",(HLOOKUP($C$5,'PY2 Data(H)'!$D$2:$CZ$279,267,FALSE)))</f>
        <v>#N/A</v>
      </c>
      <c r="M19" s="930" t="e">
        <f>IF(Q19="Blank","Prior year data not submitted as of workbook published date.",(HLOOKUP($C$5,'PY1 Data(H)'!$D$2:$CZ$279,269,FALSE)))</f>
        <v>#N/A</v>
      </c>
      <c r="N19" s="873" t="e">
        <f>Import!L72/(Import!L111+Import!L114-Import!L110+Import!L140)</f>
        <v>#DIV/0!</v>
      </c>
      <c r="O19" s="874"/>
      <c r="P19" s="1060" t="str">
        <f>IF(ISBLANK(HLOOKUP($C$5,'PY2 Data(H)'!$D$2:$CZ$279,24,FALSE)),"Blank","Not Blank")</f>
        <v>Not Blank</v>
      </c>
      <c r="Q19" s="1059" t="str">
        <f>IF(ISBLANK(HLOOKUP($C$5,'PY1 Data(H)'!$D$2:$CZ$279,24,FALSE)),"Blank","Not Blank")</f>
        <v>Not Blank</v>
      </c>
      <c r="R19" s="811"/>
    </row>
    <row r="20" spans="1:81" ht="75" customHeight="1" thickBot="1" x14ac:dyDescent="0.35">
      <c r="A20" s="830" t="s">
        <v>1076</v>
      </c>
      <c r="B20" s="1117" t="s">
        <v>1916</v>
      </c>
      <c r="C20" s="1117"/>
      <c r="D20" s="1118"/>
      <c r="E20" s="875" t="str">
        <f>IF(N20&lt;0,"Yes","No")</f>
        <v>No</v>
      </c>
      <c r="F20" s="876"/>
      <c r="G20" s="877" t="str">
        <f>E20</f>
        <v>No</v>
      </c>
      <c r="H20" s="841" t="s">
        <v>1077</v>
      </c>
      <c r="I20" s="849" t="s">
        <v>796</v>
      </c>
      <c r="J20" s="805"/>
      <c r="K20" s="827"/>
      <c r="L20" s="878"/>
      <c r="M20" s="879">
        <f>((Import!L114+Import!L111)*0.03)-Import!L118</f>
        <v>0</v>
      </c>
      <c r="N20" s="880">
        <f>M20*0.03</f>
        <v>0</v>
      </c>
      <c r="Q20" s="965"/>
    </row>
    <row r="21" spans="1:81" ht="75" customHeight="1" thickBot="1" x14ac:dyDescent="0.35">
      <c r="A21" s="914">
        <v>8</v>
      </c>
      <c r="B21" s="938" t="s">
        <v>1933</v>
      </c>
      <c r="C21" s="943" t="e">
        <f>L21</f>
        <v>#N/A</v>
      </c>
      <c r="D21" s="943" t="e">
        <f>M21</f>
        <v>#N/A</v>
      </c>
      <c r="E21" s="986" t="e">
        <f>N21</f>
        <v>#DIV/0!</v>
      </c>
      <c r="F21" s="974" t="s">
        <v>1936</v>
      </c>
      <c r="G21" s="944" t="e">
        <f>E21</f>
        <v>#DIV/0!</v>
      </c>
      <c r="H21" s="985" t="s">
        <v>1934</v>
      </c>
      <c r="I21" s="939" t="s">
        <v>1913</v>
      </c>
      <c r="J21" s="806"/>
      <c r="K21" s="827"/>
      <c r="L21" s="940" t="e">
        <f>IF(HLOOKUP($C$5,'PY2 Data(H)'!$D$2:$CZ$277,276,FALSE)=0,"Prior year data not submitted as of workbook published date.",(HLOOKUP($C$5,'PY2 Data(H)'!$D$2:$CZ$277,276,FALSE)))</f>
        <v>#N/A</v>
      </c>
      <c r="M21" s="941" t="e">
        <f>IF(HLOOKUP($C$5,'PY1 Data(H)'!$D$2:$CZ$279,278,FALSE)=0,"Prior year data not submitted as of workbook published date.",(HLOOKUP($C$5,'PY1 Data(H)'!$D$2:$CZ$279,278,FALSE)))</f>
        <v>#N/A</v>
      </c>
      <c r="N21" s="942" t="e">
        <f>1-(Import!L166+Import!L167+Import!L168+Import!L169)/(Import!L158+Import!L159+Import!L160+Import!L161)</f>
        <v>#DIV/0!</v>
      </c>
    </row>
    <row r="23" spans="1:81" ht="15" thickBot="1" x14ac:dyDescent="0.35"/>
    <row r="24" spans="1:81" ht="87" customHeight="1" thickBot="1" x14ac:dyDescent="0.35">
      <c r="A24" s="851"/>
      <c r="B24" s="1158" t="s">
        <v>1920</v>
      </c>
      <c r="C24" s="1158"/>
      <c r="D24" s="1158"/>
      <c r="E24" s="1158"/>
      <c r="F24" s="835" t="s">
        <v>651</v>
      </c>
      <c r="G24" s="835" t="s">
        <v>847</v>
      </c>
      <c r="H24" s="852" t="s">
        <v>1078</v>
      </c>
      <c r="I24" s="881"/>
      <c r="J24" s="882"/>
      <c r="K24" s="827"/>
      <c r="L24" s="855" t="e">
        <f>HLOOKUP($C$5,'PY2 Data(H)'!$D$2:$CZ$277,235,FALSE)</f>
        <v>#N/A</v>
      </c>
      <c r="M24" s="856" t="e">
        <f>HLOOKUP($C$5,'PY1 Data(H)'!$D$2:$CZ$279,229,FALSE)</f>
        <v>#N/A</v>
      </c>
      <c r="N24" s="883" t="e">
        <f>Import!L239</f>
        <v>#N/A</v>
      </c>
    </row>
    <row r="25" spans="1:81" ht="202.5" customHeight="1" thickBot="1" x14ac:dyDescent="0.35">
      <c r="A25" s="830">
        <v>9</v>
      </c>
      <c r="B25" s="1160"/>
      <c r="C25" s="1160"/>
      <c r="D25" s="1160"/>
      <c r="E25" s="1161"/>
      <c r="F25" s="803" t="s">
        <v>580</v>
      </c>
      <c r="G25" s="958" t="e">
        <f>N25</f>
        <v>#DIV/0!</v>
      </c>
      <c r="H25" s="841" t="s">
        <v>850</v>
      </c>
      <c r="I25" s="849" t="s">
        <v>589</v>
      </c>
      <c r="J25" s="805"/>
      <c r="K25" s="827"/>
      <c r="L25" s="967" t="e">
        <f>IF(AND(HLOOKUP($C$5,'PY2 Data(H)'!$D$2:$CZ$277,235,FALSE)&gt;0,(HLOOKUP($C$5,'PY2 Data(H)'!$D$2:$CZ$277,269,FALSE)&gt;0)),P25,#N/A)</f>
        <v>#N/A</v>
      </c>
      <c r="M25" s="968" t="e">
        <f>IF(AND(HLOOKUP($C$5,'PY1 Data(H)'!$D$2:$CZ$279,229,FALSE)&gt;0,(HLOOKUP($C$5,'PY1 Data(H)'!$D$2:$CZ$279,271,FALSE)&gt;0)),Q25,#N/A)</f>
        <v>#N/A</v>
      </c>
      <c r="N25" s="857" t="e">
        <f>+(Import!L94-Import!L95-Import!L93-Import!L92)/(Import!L99-Import!L100-Import!L101-Import!L102-Import!L103-Import!L104-Import!L98)</f>
        <v>#DIV/0!</v>
      </c>
      <c r="P25" s="967" t="e">
        <f>HLOOKUP($C$5,'PY2 Data(H)'!$D$2:$CZ$277,269,FALSE)</f>
        <v>#N/A</v>
      </c>
      <c r="Q25" s="968" t="e">
        <f>HLOOKUP($C$5,'PY1 Data(H)'!$D$2:$CZ$279,271,FALSE)</f>
        <v>#N/A</v>
      </c>
    </row>
    <row r="26" spans="1:81" ht="27.75" customHeight="1" thickBot="1" x14ac:dyDescent="0.35">
      <c r="A26" s="834"/>
      <c r="B26" s="884" t="s">
        <v>1074</v>
      </c>
      <c r="C26" s="866">
        <v>2022</v>
      </c>
      <c r="D26" s="866">
        <v>2023</v>
      </c>
      <c r="E26" s="866">
        <v>2024</v>
      </c>
      <c r="F26" s="835" t="s">
        <v>651</v>
      </c>
      <c r="G26" s="835" t="s">
        <v>847</v>
      </c>
      <c r="H26" s="885"/>
      <c r="I26" s="886"/>
      <c r="J26" s="887"/>
      <c r="K26" s="827"/>
      <c r="L26" s="888"/>
      <c r="M26" s="857"/>
      <c r="N26" s="857"/>
    </row>
    <row r="27" spans="1:81" ht="84.6" customHeight="1" thickBot="1" x14ac:dyDescent="0.35">
      <c r="A27" s="830">
        <v>10</v>
      </c>
      <c r="B27" s="868" t="s">
        <v>1481</v>
      </c>
      <c r="C27" s="933" t="e">
        <f>IF(L24=0,"N/A",L27)</f>
        <v>#N/A</v>
      </c>
      <c r="D27" s="933" t="e">
        <f>IF(M24=0,"N/A",M27)</f>
        <v>#N/A</v>
      </c>
      <c r="E27" s="889" t="e">
        <f>IF(N24=0,"N/A",N27)</f>
        <v>#N/A</v>
      </c>
      <c r="F27" s="803" t="s">
        <v>849</v>
      </c>
      <c r="G27" s="959" t="e">
        <f>E27</f>
        <v>#N/A</v>
      </c>
      <c r="H27" s="841" t="s">
        <v>1557</v>
      </c>
      <c r="I27" s="890" t="s">
        <v>1559</v>
      </c>
      <c r="J27" s="805"/>
      <c r="K27" s="827"/>
      <c r="L27" s="976" t="e">
        <f>IF(HLOOKUP($C$5,'PY2 Data(H)'!$D$2:$CZ$277,270,FALSE)=0,"Prior year data not submitted as of workbook published date.",(HLOOKUP($C$5,'PY2 Data(H)'!$D$2:$CZ$277,270,FALSE)))</f>
        <v>#N/A</v>
      </c>
      <c r="M27" s="932" t="e">
        <f>IF(HLOOKUP($C$5,'PY1 Data(H)'!$D$2:$CZ$279,272,FALSE)=0,"Prior year data not submitted as of workbook published date.",(HLOOKUP($C$5,'PY1 Data(H)'!$D$2:$CZ$279,272,FALSE)))</f>
        <v>#N/A</v>
      </c>
      <c r="N27" s="891">
        <f>+Import!L125-Import!L128+Import!L127-Import!L143-Import!L129</f>
        <v>0</v>
      </c>
      <c r="Q27" s="1058"/>
    </row>
    <row r="28" spans="1:81" s="855" customFormat="1" ht="120" customHeight="1" thickBot="1" x14ac:dyDescent="0.35">
      <c r="A28" s="830">
        <v>11</v>
      </c>
      <c r="B28" s="871" t="s">
        <v>1570</v>
      </c>
      <c r="C28" s="931" t="e">
        <f>IF(L24=0,"N/A",L28)</f>
        <v>#N/A</v>
      </c>
      <c r="D28" s="931" t="e">
        <f>IF(M24=0,"N/A",M28)</f>
        <v>#N/A</v>
      </c>
      <c r="E28" s="872" t="e">
        <f>IF(N24=0,"N/A",N28)</f>
        <v>#N/A</v>
      </c>
      <c r="F28" s="803" t="s">
        <v>795</v>
      </c>
      <c r="G28" s="957" t="e">
        <f>E28</f>
        <v>#N/A</v>
      </c>
      <c r="H28" s="841" t="s">
        <v>1867</v>
      </c>
      <c r="I28" s="890" t="s">
        <v>1560</v>
      </c>
      <c r="J28" s="806"/>
      <c r="K28" s="827"/>
      <c r="L28" s="1061" t="e">
        <f>IF(P28="Blank","Prior year data not submitted as of workbook published date.",(HLOOKUP($C$5,'PY2 Data(H)'!$D$2:$CZ$279,271,FALSE)))</f>
        <v>#N/A</v>
      </c>
      <c r="M28" s="930" t="e">
        <f>IF(Q28="Blank","Prior year data not submitted as of workbook published date.",(HLOOKUP($C$5,'PY1 Data(H)'!$D$2:$CZ$279,273,FALSE)))</f>
        <v>#N/A</v>
      </c>
      <c r="N28" s="873" t="e">
        <f>+Import!L90/(Import!L131+Import!L128-Import!L127+Import!L143)</f>
        <v>#DIV/0!</v>
      </c>
      <c r="O28" s="810"/>
      <c r="P28" s="1060" t="str">
        <f>IF(ISBLANK(HLOOKUP($C$5,'PY2 Data(H)'!$D$2:$CZ$279,32,FALSE)),"Blank","Not Blank")</f>
        <v>Not Blank</v>
      </c>
      <c r="Q28" s="1059" t="str">
        <f>IF(ISBLANK(HLOOKUP($C$5,'PY1 Data(H)'!$D$2:$CZ$279,32,FALSE)),"Blank","Not Blank")</f>
        <v>Not Blank</v>
      </c>
      <c r="R28" s="811"/>
      <c r="S28" s="812"/>
      <c r="T28" s="812"/>
      <c r="U28" s="812"/>
      <c r="V28" s="812"/>
      <c r="W28" s="812"/>
      <c r="X28" s="812"/>
      <c r="Y28" s="812"/>
      <c r="Z28" s="812"/>
      <c r="AA28" s="812"/>
      <c r="AB28" s="812"/>
      <c r="AC28" s="812"/>
      <c r="AD28" s="812"/>
      <c r="AE28" s="812"/>
      <c r="AF28" s="812"/>
      <c r="AG28" s="812"/>
      <c r="AH28" s="812"/>
      <c r="AI28" s="812"/>
      <c r="AJ28" s="812"/>
      <c r="AK28" s="812"/>
      <c r="AL28" s="812"/>
      <c r="AM28" s="812"/>
      <c r="AN28" s="812"/>
      <c r="AO28" s="812"/>
      <c r="AP28" s="812"/>
      <c r="AQ28" s="812"/>
      <c r="AR28" s="812"/>
      <c r="AS28" s="812"/>
      <c r="AT28" s="812"/>
      <c r="AU28" s="812"/>
      <c r="AV28" s="812"/>
      <c r="AW28" s="812"/>
      <c r="AX28" s="812"/>
      <c r="AY28" s="812"/>
      <c r="AZ28" s="812"/>
      <c r="BA28" s="812"/>
      <c r="BB28" s="812"/>
      <c r="BC28" s="812"/>
      <c r="BD28" s="812"/>
      <c r="BE28" s="812"/>
      <c r="BF28" s="812"/>
      <c r="BG28" s="812"/>
      <c r="BH28" s="813"/>
      <c r="BI28" s="813"/>
      <c r="BJ28" s="813"/>
      <c r="BK28" s="813"/>
      <c r="BL28" s="813"/>
      <c r="BM28" s="813"/>
      <c r="BN28" s="813"/>
      <c r="BO28" s="813"/>
      <c r="BP28" s="813"/>
      <c r="BQ28" s="813"/>
      <c r="BR28" s="813"/>
      <c r="BS28" s="813"/>
      <c r="BT28" s="813"/>
      <c r="BU28" s="813"/>
      <c r="BV28" s="813"/>
      <c r="BW28" s="813"/>
      <c r="BX28" s="813"/>
      <c r="BY28" s="813"/>
      <c r="BZ28" s="813"/>
      <c r="CA28" s="813"/>
      <c r="CB28" s="813"/>
      <c r="CC28" s="813"/>
    </row>
    <row r="29" spans="1:81" s="855" customFormat="1" ht="18.600000000000001" thickBot="1" x14ac:dyDescent="0.35">
      <c r="A29" s="892"/>
      <c r="B29" s="1115" t="s">
        <v>851</v>
      </c>
      <c r="C29" s="1115"/>
      <c r="D29" s="1115"/>
      <c r="E29" s="866">
        <v>2024</v>
      </c>
      <c r="F29" s="893" t="s">
        <v>852</v>
      </c>
      <c r="G29" s="894"/>
      <c r="H29" s="895"/>
      <c r="I29" s="896"/>
      <c r="J29" s="897"/>
      <c r="K29" s="827"/>
      <c r="L29" s="810"/>
      <c r="M29" s="810"/>
      <c r="N29" s="810"/>
      <c r="O29" s="810"/>
      <c r="Q29" s="965"/>
      <c r="R29" s="812"/>
      <c r="S29" s="812"/>
      <c r="T29" s="812"/>
      <c r="U29" s="812"/>
      <c r="V29" s="812"/>
      <c r="W29" s="812"/>
      <c r="X29" s="812"/>
      <c r="Y29" s="812"/>
      <c r="Z29" s="812"/>
      <c r="AA29" s="812"/>
      <c r="AB29" s="812"/>
      <c r="AC29" s="812"/>
      <c r="AD29" s="812"/>
      <c r="AE29" s="812"/>
      <c r="AF29" s="812"/>
      <c r="AG29" s="812"/>
      <c r="AH29" s="812"/>
      <c r="AI29" s="812"/>
      <c r="AJ29" s="812"/>
      <c r="AK29" s="812"/>
      <c r="AL29" s="812"/>
      <c r="AM29" s="812"/>
      <c r="AN29" s="812"/>
      <c r="AO29" s="812"/>
      <c r="AP29" s="812"/>
      <c r="AQ29" s="812"/>
      <c r="AR29" s="812"/>
      <c r="AS29" s="812"/>
      <c r="AT29" s="812"/>
      <c r="AU29" s="812"/>
      <c r="AV29" s="812"/>
      <c r="AW29" s="812"/>
      <c r="AX29" s="812"/>
      <c r="AY29" s="812"/>
      <c r="AZ29" s="812"/>
      <c r="BA29" s="812"/>
      <c r="BB29" s="812"/>
      <c r="BC29" s="812"/>
      <c r="BD29" s="812"/>
      <c r="BE29" s="812"/>
      <c r="BF29" s="812"/>
      <c r="BG29" s="812"/>
      <c r="BH29" s="813"/>
      <c r="BI29" s="813"/>
      <c r="BJ29" s="813"/>
      <c r="BK29" s="813"/>
      <c r="BL29" s="813"/>
      <c r="BM29" s="813"/>
      <c r="BN29" s="813"/>
      <c r="BO29" s="813"/>
      <c r="BP29" s="813"/>
      <c r="BQ29" s="813"/>
      <c r="BR29" s="813"/>
      <c r="BS29" s="813"/>
      <c r="BT29" s="813"/>
      <c r="BU29" s="813"/>
      <c r="BV29" s="813"/>
      <c r="BW29" s="813"/>
      <c r="BX29" s="813"/>
      <c r="BY29" s="813"/>
      <c r="BZ29" s="813"/>
      <c r="CA29" s="813"/>
      <c r="CB29" s="813"/>
      <c r="CC29" s="813"/>
    </row>
    <row r="30" spans="1:81" s="855" customFormat="1" ht="119.4" customHeight="1" thickBot="1" x14ac:dyDescent="0.35">
      <c r="A30" s="898" t="s">
        <v>1921</v>
      </c>
      <c r="B30" s="1162" t="s">
        <v>1937</v>
      </c>
      <c r="C30" s="1163"/>
      <c r="D30" s="1163"/>
      <c r="E30" s="993">
        <f>Import!L259</f>
        <v>0</v>
      </c>
      <c r="F30" s="991"/>
      <c r="G30" s="993" t="str">
        <f>IF('TD Info Completed by Auditor'!C31&gt;N30,"Late","Response Not Required")</f>
        <v>Response Not Required</v>
      </c>
      <c r="H30" s="899" t="s">
        <v>853</v>
      </c>
      <c r="I30" s="1047" t="s">
        <v>1931</v>
      </c>
      <c r="J30" s="807"/>
      <c r="K30" s="827"/>
      <c r="L30" s="998">
        <f>'TD Info Completed by Auditor'!C31</f>
        <v>0</v>
      </c>
      <c r="M30" s="999">
        <f>'TD Info Completed by Auditor'!C30</f>
        <v>45473</v>
      </c>
      <c r="N30" s="1000">
        <f>IF(M30=DATEVALUE("6/30/2024"),N32,IF(M30=DATEVALUE("9/30/2024"),N33,IF(M30=DATEVALUE("12/31/2024"),N34,IF(M30=DATEVALUE("3/31/2025"),N35))))</f>
        <v>45657</v>
      </c>
      <c r="P30" s="995"/>
      <c r="Q30" s="812"/>
      <c r="R30" s="812"/>
      <c r="S30" s="812"/>
      <c r="T30" s="812"/>
      <c r="U30" s="812"/>
      <c r="V30" s="812"/>
      <c r="W30" s="812"/>
      <c r="X30" s="812"/>
      <c r="Y30" s="812"/>
      <c r="Z30" s="812"/>
      <c r="AA30" s="812"/>
      <c r="AB30" s="812"/>
      <c r="AC30" s="812"/>
      <c r="AD30" s="812"/>
      <c r="AE30" s="812"/>
      <c r="AF30" s="812"/>
      <c r="AG30" s="812"/>
      <c r="AH30" s="812"/>
      <c r="AI30" s="812"/>
      <c r="AJ30" s="812"/>
      <c r="AK30" s="812"/>
      <c r="AL30" s="812"/>
      <c r="AM30" s="812"/>
      <c r="AN30" s="812"/>
      <c r="AO30" s="812"/>
      <c r="AP30" s="812"/>
      <c r="AQ30" s="812"/>
      <c r="AR30" s="812"/>
      <c r="AS30" s="812"/>
      <c r="AT30" s="812"/>
      <c r="AU30" s="812"/>
      <c r="AV30" s="812"/>
      <c r="AW30" s="812"/>
      <c r="AX30" s="812"/>
      <c r="AY30" s="812"/>
      <c r="AZ30" s="812"/>
      <c r="BA30" s="812"/>
      <c r="BB30" s="812"/>
      <c r="BC30" s="812"/>
      <c r="BD30" s="812"/>
      <c r="BE30" s="812"/>
      <c r="BF30" s="812"/>
      <c r="BG30" s="812"/>
      <c r="BH30" s="813"/>
      <c r="BI30" s="813"/>
      <c r="BJ30" s="813"/>
      <c r="BK30" s="813"/>
      <c r="BL30" s="813"/>
      <c r="BM30" s="813"/>
      <c r="BN30" s="813"/>
      <c r="BO30" s="813"/>
      <c r="BP30" s="813"/>
      <c r="BQ30" s="813"/>
      <c r="BR30" s="813"/>
      <c r="BS30" s="813"/>
      <c r="BT30" s="813"/>
      <c r="BU30" s="813"/>
      <c r="BV30" s="813"/>
      <c r="BW30" s="813"/>
      <c r="BX30" s="813"/>
      <c r="BY30" s="813"/>
      <c r="BZ30" s="813"/>
      <c r="CA30" s="813"/>
      <c r="CB30" s="813"/>
      <c r="CC30" s="813"/>
    </row>
    <row r="31" spans="1:81" s="855" customFormat="1" ht="18" customHeight="1" thickBot="1" x14ac:dyDescent="0.35">
      <c r="A31" s="900"/>
      <c r="B31" s="1107"/>
      <c r="C31" s="1107"/>
      <c r="D31" s="1108"/>
      <c r="E31" s="866">
        <v>2024</v>
      </c>
      <c r="F31" s="901" t="s">
        <v>852</v>
      </c>
      <c r="G31" s="902"/>
      <c r="H31" s="902"/>
      <c r="I31" s="903"/>
      <c r="J31" s="904"/>
      <c r="K31" s="827"/>
      <c r="L31" s="1001" t="s">
        <v>1940</v>
      </c>
      <c r="M31" s="1002" t="s">
        <v>1941</v>
      </c>
      <c r="N31" s="1003"/>
      <c r="P31" s="811"/>
      <c r="Q31" s="812"/>
      <c r="R31" s="812"/>
      <c r="S31" s="812"/>
      <c r="T31" s="812"/>
      <c r="U31" s="812"/>
      <c r="V31" s="812"/>
      <c r="W31" s="812"/>
      <c r="X31" s="812"/>
      <c r="Y31" s="812"/>
      <c r="Z31" s="812"/>
      <c r="AA31" s="812"/>
      <c r="AB31" s="812"/>
      <c r="AC31" s="812"/>
      <c r="AD31" s="812"/>
      <c r="AE31" s="812"/>
      <c r="AF31" s="812"/>
      <c r="AG31" s="812"/>
      <c r="AH31" s="812"/>
      <c r="AI31" s="812"/>
      <c r="AJ31" s="812"/>
      <c r="AK31" s="812"/>
      <c r="AL31" s="812"/>
      <c r="AM31" s="812"/>
      <c r="AN31" s="812"/>
      <c r="AO31" s="812"/>
      <c r="AP31" s="812"/>
      <c r="AQ31" s="812"/>
      <c r="AR31" s="812"/>
      <c r="AS31" s="812"/>
      <c r="AT31" s="812"/>
      <c r="AU31" s="812"/>
      <c r="AV31" s="812"/>
      <c r="AW31" s="812"/>
      <c r="AX31" s="812"/>
      <c r="AY31" s="812"/>
      <c r="AZ31" s="812"/>
      <c r="BA31" s="812"/>
      <c r="BB31" s="812"/>
      <c r="BC31" s="812"/>
      <c r="BD31" s="812"/>
      <c r="BE31" s="812"/>
      <c r="BF31" s="812"/>
      <c r="BG31" s="812"/>
      <c r="BH31" s="813"/>
      <c r="BI31" s="813"/>
      <c r="BJ31" s="813"/>
      <c r="BK31" s="813"/>
      <c r="BL31" s="813"/>
      <c r="BM31" s="813"/>
      <c r="BN31" s="813"/>
      <c r="BO31" s="813"/>
      <c r="BP31" s="813"/>
      <c r="BQ31" s="813"/>
      <c r="BR31" s="813"/>
      <c r="BS31" s="813"/>
      <c r="BT31" s="813"/>
      <c r="BU31" s="813"/>
      <c r="BV31" s="813"/>
      <c r="BW31" s="813"/>
      <c r="BX31" s="813"/>
      <c r="BY31" s="813"/>
      <c r="BZ31" s="813"/>
      <c r="CA31" s="813"/>
      <c r="CB31" s="813"/>
      <c r="CC31" s="813"/>
    </row>
    <row r="32" spans="1:81" s="855" customFormat="1" ht="114.6" customHeight="1" thickBot="1" x14ac:dyDescent="0.35">
      <c r="A32" s="830">
        <v>13</v>
      </c>
      <c r="B32" s="1098" t="s">
        <v>1480</v>
      </c>
      <c r="C32" s="1109"/>
      <c r="D32" s="1109"/>
      <c r="E32" s="905" t="str">
        <f>IFERROR((Import!L54-Import!L55)/Import!L55,"This question must be answered unless the unit does not levy ad valorem taxes. See cells F63 &amp; F64 on Unit Data from Audit")</f>
        <v>This question must be answered unless the unit does not levy ad valorem taxes. See cells F63 &amp; F64 on Unit Data from Audit</v>
      </c>
      <c r="F32" s="803" t="s">
        <v>581</v>
      </c>
      <c r="G32" s="906" t="str">
        <f>+E32</f>
        <v>This question must be answered unless the unit does not levy ad valorem taxes. See cells F63 &amp; F64 on Unit Data from Audit</v>
      </c>
      <c r="H32" s="841" t="s">
        <v>1424</v>
      </c>
      <c r="I32" s="890" t="s">
        <v>585</v>
      </c>
      <c r="J32" s="807"/>
      <c r="K32" s="827"/>
      <c r="L32" s="1001"/>
      <c r="M32" s="1004">
        <v>45473</v>
      </c>
      <c r="N32" s="1005">
        <v>45657</v>
      </c>
      <c r="O32" s="810"/>
      <c r="P32" s="811"/>
      <c r="Q32" s="812"/>
      <c r="R32" s="812"/>
      <c r="S32" s="812"/>
      <c r="T32" s="812"/>
      <c r="U32" s="812"/>
      <c r="V32" s="812"/>
      <c r="W32" s="812"/>
      <c r="X32" s="812"/>
      <c r="Y32" s="812"/>
      <c r="Z32" s="812"/>
      <c r="AA32" s="812"/>
      <c r="AB32" s="812"/>
      <c r="AC32" s="812"/>
      <c r="AD32" s="812"/>
      <c r="AE32" s="812"/>
      <c r="AF32" s="812"/>
      <c r="AG32" s="812"/>
      <c r="AH32" s="812"/>
      <c r="AI32" s="812"/>
      <c r="AJ32" s="812"/>
      <c r="AK32" s="812"/>
      <c r="AL32" s="812"/>
      <c r="AM32" s="812"/>
      <c r="AN32" s="812"/>
      <c r="AO32" s="812"/>
      <c r="AP32" s="812"/>
      <c r="AQ32" s="812"/>
      <c r="AR32" s="812"/>
      <c r="AS32" s="812"/>
      <c r="AT32" s="812"/>
      <c r="AU32" s="812"/>
      <c r="AV32" s="812"/>
      <c r="AW32" s="812"/>
      <c r="AX32" s="812"/>
      <c r="AY32" s="812"/>
      <c r="AZ32" s="812"/>
      <c r="BA32" s="812"/>
      <c r="BB32" s="812"/>
      <c r="BC32" s="812"/>
      <c r="BD32" s="812"/>
      <c r="BE32" s="812"/>
      <c r="BF32" s="812"/>
      <c r="BG32" s="812"/>
      <c r="BH32" s="813"/>
      <c r="BI32" s="813"/>
      <c r="BJ32" s="813"/>
      <c r="BK32" s="813"/>
      <c r="BL32" s="813"/>
      <c r="BM32" s="813"/>
      <c r="BN32" s="813"/>
      <c r="BO32" s="813"/>
      <c r="BP32" s="813"/>
      <c r="BQ32" s="813"/>
      <c r="BR32" s="813"/>
      <c r="BS32" s="813"/>
      <c r="BT32" s="813"/>
      <c r="BU32" s="813"/>
      <c r="BV32" s="813"/>
      <c r="BW32" s="813"/>
      <c r="BX32" s="813"/>
      <c r="BY32" s="813"/>
      <c r="BZ32" s="813"/>
      <c r="CA32" s="813"/>
      <c r="CB32" s="813"/>
      <c r="CC32" s="813"/>
    </row>
    <row r="33" spans="1:81" s="855" customFormat="1" ht="18" customHeight="1" thickBot="1" x14ac:dyDescent="0.35">
      <c r="A33" s="907"/>
      <c r="B33" s="1107"/>
      <c r="C33" s="1107"/>
      <c r="D33" s="1108"/>
      <c r="E33" s="866">
        <v>2024</v>
      </c>
      <c r="F33" s="901" t="s">
        <v>852</v>
      </c>
      <c r="G33" s="902"/>
      <c r="H33" s="902"/>
      <c r="I33" s="903"/>
      <c r="J33" s="904"/>
      <c r="K33" s="809"/>
      <c r="L33" s="1001"/>
      <c r="M33" s="1004">
        <v>45565</v>
      </c>
      <c r="N33" s="1005">
        <v>45747</v>
      </c>
      <c r="O33" s="810"/>
      <c r="P33" s="811"/>
      <c r="Q33" s="812"/>
      <c r="R33" s="812"/>
      <c r="S33" s="812"/>
      <c r="T33" s="812"/>
      <c r="U33" s="812"/>
      <c r="V33" s="812"/>
      <c r="W33" s="812"/>
      <c r="X33" s="812"/>
      <c r="Y33" s="812"/>
      <c r="Z33" s="812"/>
      <c r="AA33" s="812"/>
      <c r="AB33" s="812"/>
      <c r="AC33" s="812"/>
      <c r="AD33" s="812"/>
      <c r="AE33" s="812"/>
      <c r="AF33" s="812"/>
      <c r="AG33" s="812"/>
      <c r="AH33" s="812"/>
      <c r="AI33" s="812"/>
      <c r="AJ33" s="812"/>
      <c r="AK33" s="812"/>
      <c r="AL33" s="812"/>
      <c r="AM33" s="812"/>
      <c r="AN33" s="812"/>
      <c r="AO33" s="812"/>
      <c r="AP33" s="812"/>
      <c r="AQ33" s="812"/>
      <c r="AR33" s="812"/>
      <c r="AS33" s="812"/>
      <c r="AT33" s="812"/>
      <c r="AU33" s="812"/>
      <c r="AV33" s="812"/>
      <c r="AW33" s="812"/>
      <c r="AX33" s="812"/>
      <c r="AY33" s="812"/>
      <c r="AZ33" s="812"/>
      <c r="BA33" s="812"/>
      <c r="BB33" s="812"/>
      <c r="BC33" s="812"/>
      <c r="BD33" s="812"/>
      <c r="BE33" s="812"/>
      <c r="BF33" s="812"/>
      <c r="BG33" s="812"/>
      <c r="BH33" s="813"/>
      <c r="BI33" s="813"/>
      <c r="BJ33" s="813"/>
      <c r="BK33" s="813"/>
      <c r="BL33" s="813"/>
      <c r="BM33" s="813"/>
      <c r="BN33" s="813"/>
      <c r="BO33" s="813"/>
      <c r="BP33" s="813"/>
      <c r="BQ33" s="813"/>
      <c r="BR33" s="813"/>
      <c r="BS33" s="813"/>
      <c r="BT33" s="813"/>
      <c r="BU33" s="813"/>
      <c r="BV33" s="813"/>
      <c r="BW33" s="813"/>
      <c r="BX33" s="813"/>
      <c r="BY33" s="813"/>
      <c r="BZ33" s="813"/>
      <c r="CA33" s="813"/>
      <c r="CB33" s="813"/>
      <c r="CC33" s="813"/>
    </row>
    <row r="34" spans="1:81" s="855" customFormat="1" ht="97.5" customHeight="1" thickBot="1" x14ac:dyDescent="0.35">
      <c r="A34" s="830">
        <v>14</v>
      </c>
      <c r="B34" s="1118" t="s">
        <v>1080</v>
      </c>
      <c r="C34" s="1159"/>
      <c r="D34" s="1159"/>
      <c r="E34" s="908" t="str">
        <f>IF(Import!L210=20,"Increase",IF(Import!L210=21,"Decrease",IF(Import!L210=22,"No Change",IF(Import!L210=23,"N/A","This question must be answered. See cell F265 on Unit Data from Audit"))))</f>
        <v>This question must be answered. See cell F265 on Unit Data from Audit</v>
      </c>
      <c r="F34" s="803" t="s">
        <v>854</v>
      </c>
      <c r="G34" s="908" t="str">
        <f>E34</f>
        <v>This question must be answered. See cell F265 on Unit Data from Audit</v>
      </c>
      <c r="H34" s="841" t="s">
        <v>855</v>
      </c>
      <c r="I34" s="890" t="s">
        <v>586</v>
      </c>
      <c r="J34" s="807"/>
      <c r="K34" s="909"/>
      <c r="L34" s="1001"/>
      <c r="M34" s="1004">
        <v>45657</v>
      </c>
      <c r="N34" s="1005">
        <v>45838</v>
      </c>
      <c r="O34" s="810"/>
      <c r="P34" s="811"/>
      <c r="Q34" s="812"/>
      <c r="R34" s="812"/>
      <c r="S34" s="812"/>
      <c r="T34" s="812"/>
      <c r="U34" s="812"/>
      <c r="V34" s="812"/>
      <c r="W34" s="812"/>
      <c r="X34" s="812"/>
      <c r="Y34" s="812"/>
      <c r="Z34" s="812"/>
      <c r="AA34" s="812"/>
      <c r="AB34" s="812"/>
      <c r="AC34" s="812"/>
      <c r="AD34" s="812"/>
      <c r="AE34" s="812"/>
      <c r="AF34" s="812"/>
      <c r="AG34" s="812"/>
      <c r="AH34" s="812"/>
      <c r="AI34" s="812"/>
      <c r="AJ34" s="812"/>
      <c r="AK34" s="812"/>
      <c r="AL34" s="812"/>
      <c r="AM34" s="812"/>
      <c r="AN34" s="812"/>
      <c r="AO34" s="812"/>
      <c r="AP34" s="812"/>
      <c r="AQ34" s="812"/>
      <c r="AR34" s="812"/>
      <c r="AS34" s="812"/>
      <c r="AT34" s="812"/>
      <c r="AU34" s="812"/>
      <c r="AV34" s="812"/>
      <c r="AW34" s="812"/>
      <c r="AX34" s="812"/>
      <c r="AY34" s="812"/>
      <c r="AZ34" s="812"/>
      <c r="BA34" s="812"/>
      <c r="BB34" s="812"/>
      <c r="BC34" s="812"/>
      <c r="BD34" s="812"/>
      <c r="BE34" s="812"/>
      <c r="BF34" s="812"/>
      <c r="BG34" s="812"/>
      <c r="BH34" s="813"/>
      <c r="BI34" s="813"/>
      <c r="BJ34" s="813"/>
      <c r="BK34" s="813"/>
      <c r="BL34" s="813"/>
      <c r="BM34" s="813"/>
      <c r="BN34" s="813"/>
      <c r="BO34" s="813"/>
      <c r="BP34" s="813"/>
      <c r="BQ34" s="813"/>
      <c r="BR34" s="813"/>
      <c r="BS34" s="813"/>
      <c r="BT34" s="813"/>
      <c r="BU34" s="813"/>
      <c r="BV34" s="813"/>
      <c r="BW34" s="813"/>
      <c r="BX34" s="813"/>
      <c r="BY34" s="813"/>
      <c r="BZ34" s="813"/>
      <c r="CA34" s="813"/>
      <c r="CB34" s="813"/>
      <c r="CC34" s="813"/>
    </row>
    <row r="35" spans="1:81" s="855" customFormat="1" ht="18" customHeight="1" thickBot="1" x14ac:dyDescent="0.35">
      <c r="A35" s="907"/>
      <c r="B35" s="1107"/>
      <c r="C35" s="1107"/>
      <c r="D35" s="1108"/>
      <c r="E35" s="866">
        <v>2024</v>
      </c>
      <c r="F35" s="901" t="s">
        <v>852</v>
      </c>
      <c r="G35" s="902"/>
      <c r="H35" s="910"/>
      <c r="I35" s="903"/>
      <c r="J35" s="904"/>
      <c r="K35" s="911"/>
      <c r="L35" s="1006"/>
      <c r="M35" s="1007">
        <v>45747</v>
      </c>
      <c r="N35" s="1008">
        <v>45930</v>
      </c>
      <c r="O35" s="810"/>
      <c r="P35" s="811"/>
      <c r="Q35" s="812"/>
      <c r="R35" s="812"/>
      <c r="S35" s="812"/>
      <c r="T35" s="812"/>
      <c r="U35" s="812"/>
      <c r="V35" s="812"/>
      <c r="W35" s="812"/>
      <c r="X35" s="812"/>
      <c r="Y35" s="812"/>
      <c r="Z35" s="812"/>
      <c r="AA35" s="812"/>
      <c r="AB35" s="812"/>
      <c r="AC35" s="812"/>
      <c r="AD35" s="812"/>
      <c r="AE35" s="812"/>
      <c r="AF35" s="812"/>
      <c r="AG35" s="812"/>
      <c r="AH35" s="812"/>
      <c r="AI35" s="812"/>
      <c r="AJ35" s="812"/>
      <c r="AK35" s="812"/>
      <c r="AL35" s="812"/>
      <c r="AM35" s="812"/>
      <c r="AN35" s="812"/>
      <c r="AO35" s="812"/>
      <c r="AP35" s="812"/>
      <c r="AQ35" s="812"/>
      <c r="AR35" s="812"/>
      <c r="AS35" s="812"/>
      <c r="AT35" s="812"/>
      <c r="AU35" s="812"/>
      <c r="AV35" s="812"/>
      <c r="AW35" s="812"/>
      <c r="AX35" s="812"/>
      <c r="AY35" s="812"/>
      <c r="AZ35" s="812"/>
      <c r="BA35" s="812"/>
      <c r="BB35" s="812"/>
      <c r="BC35" s="812"/>
      <c r="BD35" s="812"/>
      <c r="BE35" s="812"/>
      <c r="BF35" s="812"/>
      <c r="BG35" s="812"/>
      <c r="BH35" s="813"/>
      <c r="BI35" s="813"/>
      <c r="BJ35" s="813"/>
      <c r="BK35" s="813"/>
      <c r="BL35" s="813"/>
      <c r="BM35" s="813"/>
      <c r="BN35" s="813"/>
      <c r="BO35" s="813"/>
      <c r="BP35" s="813"/>
      <c r="BQ35" s="813"/>
      <c r="BR35" s="813"/>
      <c r="BS35" s="813"/>
      <c r="BT35" s="813"/>
      <c r="BU35" s="813"/>
      <c r="BV35" s="813"/>
      <c r="BW35" s="813"/>
      <c r="BX35" s="813"/>
      <c r="BY35" s="813"/>
      <c r="BZ35" s="813"/>
      <c r="CA35" s="813"/>
      <c r="CB35" s="813"/>
      <c r="CC35" s="813"/>
    </row>
    <row r="36" spans="1:81" s="855" customFormat="1" ht="88.2" customHeight="1" thickBot="1" x14ac:dyDescent="0.35">
      <c r="A36" s="830">
        <v>15</v>
      </c>
      <c r="B36" s="1112" t="s">
        <v>1887</v>
      </c>
      <c r="C36" s="1113"/>
      <c r="D36" s="1114"/>
      <c r="E36" s="803" t="str">
        <f>IF(Import!L216=1,"Yes",IF(Import!L216=2,"No",IF(Import!L216=0,"This question must be answered.  See cell C15 on TD")))</f>
        <v>This question must be answered.  See cell C15 on TD</v>
      </c>
      <c r="F36" s="803" t="s">
        <v>587</v>
      </c>
      <c r="G36" s="803" t="str">
        <f>+E36</f>
        <v>This question must be answered.  See cell C15 on TD</v>
      </c>
      <c r="H36" s="912" t="s">
        <v>1081</v>
      </c>
      <c r="I36" s="890" t="s">
        <v>1460</v>
      </c>
      <c r="J36" s="807"/>
      <c r="K36" s="827"/>
      <c r="L36" s="810"/>
      <c r="M36" s="810"/>
      <c r="N36" s="994"/>
      <c r="O36" s="810"/>
      <c r="P36" s="811"/>
      <c r="Q36" s="812"/>
      <c r="R36" s="812"/>
      <c r="S36" s="812"/>
      <c r="T36" s="812"/>
      <c r="U36" s="812"/>
      <c r="V36" s="812"/>
      <c r="W36" s="812"/>
      <c r="X36" s="812"/>
      <c r="Y36" s="812"/>
      <c r="Z36" s="812"/>
      <c r="AA36" s="812"/>
      <c r="AB36" s="812"/>
      <c r="AC36" s="812"/>
      <c r="AD36" s="812"/>
      <c r="AE36" s="812"/>
      <c r="AF36" s="812"/>
      <c r="AG36" s="812"/>
      <c r="AH36" s="812"/>
      <c r="AI36" s="812"/>
      <c r="AJ36" s="812"/>
      <c r="AK36" s="812"/>
      <c r="AL36" s="812"/>
      <c r="AM36" s="812"/>
      <c r="AN36" s="812"/>
      <c r="AO36" s="812"/>
      <c r="AP36" s="812"/>
      <c r="AQ36" s="812"/>
      <c r="AR36" s="812"/>
      <c r="AS36" s="812"/>
      <c r="AT36" s="812"/>
      <c r="AU36" s="812"/>
      <c r="AV36" s="812"/>
      <c r="AW36" s="812"/>
      <c r="AX36" s="812"/>
      <c r="AY36" s="812"/>
      <c r="AZ36" s="812"/>
      <c r="BA36" s="812"/>
      <c r="BB36" s="812"/>
      <c r="BC36" s="812"/>
      <c r="BD36" s="812"/>
      <c r="BE36" s="812"/>
      <c r="BF36" s="812"/>
      <c r="BG36" s="812"/>
      <c r="BH36" s="813"/>
      <c r="BI36" s="813"/>
      <c r="BJ36" s="813"/>
      <c r="BK36" s="813"/>
      <c r="BL36" s="813"/>
      <c r="BM36" s="813"/>
      <c r="BN36" s="813"/>
      <c r="BO36" s="813"/>
      <c r="BP36" s="813"/>
      <c r="BQ36" s="813"/>
      <c r="BR36" s="813"/>
      <c r="BS36" s="813"/>
      <c r="BT36" s="813"/>
      <c r="BU36" s="813"/>
      <c r="BV36" s="813"/>
      <c r="BW36" s="813"/>
      <c r="BX36" s="813"/>
      <c r="BY36" s="813"/>
      <c r="BZ36" s="813"/>
      <c r="CA36" s="813"/>
      <c r="CB36" s="813"/>
      <c r="CC36" s="813"/>
    </row>
    <row r="37" spans="1:81" s="855" customFormat="1" ht="18" customHeight="1" thickBot="1" x14ac:dyDescent="0.35">
      <c r="A37" s="907"/>
      <c r="B37" s="1107"/>
      <c r="C37" s="1107"/>
      <c r="D37" s="1108"/>
      <c r="E37" s="866">
        <v>2024</v>
      </c>
      <c r="F37" s="901" t="s">
        <v>852</v>
      </c>
      <c r="G37" s="902"/>
      <c r="H37" s="910"/>
      <c r="I37" s="903"/>
      <c r="J37" s="904"/>
      <c r="K37" s="827"/>
      <c r="L37" s="810"/>
      <c r="M37" s="810"/>
      <c r="N37" s="810"/>
      <c r="O37" s="810"/>
      <c r="P37" s="811"/>
      <c r="Q37" s="812"/>
      <c r="R37" s="812"/>
      <c r="S37" s="812"/>
      <c r="T37" s="812"/>
      <c r="U37" s="812"/>
      <c r="V37" s="812"/>
      <c r="W37" s="812"/>
      <c r="X37" s="812"/>
      <c r="Y37" s="812"/>
      <c r="Z37" s="812"/>
      <c r="AA37" s="812"/>
      <c r="AB37" s="812"/>
      <c r="AC37" s="812"/>
      <c r="AD37" s="812"/>
      <c r="AE37" s="812"/>
      <c r="AF37" s="812"/>
      <c r="AG37" s="812"/>
      <c r="AH37" s="812"/>
      <c r="AI37" s="812"/>
      <c r="AJ37" s="812"/>
      <c r="AK37" s="812"/>
      <c r="AL37" s="812"/>
      <c r="AM37" s="812"/>
      <c r="AN37" s="812"/>
      <c r="AO37" s="812"/>
      <c r="AP37" s="812"/>
      <c r="AQ37" s="812"/>
      <c r="AR37" s="812"/>
      <c r="AS37" s="812"/>
      <c r="AT37" s="812"/>
      <c r="AU37" s="812"/>
      <c r="AV37" s="812"/>
      <c r="AW37" s="812"/>
      <c r="AX37" s="812"/>
      <c r="AY37" s="812"/>
      <c r="AZ37" s="812"/>
      <c r="BA37" s="812"/>
      <c r="BB37" s="812"/>
      <c r="BC37" s="812"/>
      <c r="BD37" s="812"/>
      <c r="BE37" s="812"/>
      <c r="BF37" s="812"/>
      <c r="BG37" s="812"/>
      <c r="BH37" s="813"/>
      <c r="BI37" s="813"/>
      <c r="BJ37" s="813"/>
      <c r="BK37" s="813"/>
      <c r="BL37" s="813"/>
      <c r="BM37" s="813"/>
      <c r="BN37" s="813"/>
      <c r="BO37" s="813"/>
      <c r="BP37" s="813"/>
      <c r="BQ37" s="813"/>
      <c r="BR37" s="813"/>
      <c r="BS37" s="813"/>
      <c r="BT37" s="813"/>
      <c r="BU37" s="813"/>
      <c r="BV37" s="813"/>
      <c r="BW37" s="813"/>
      <c r="BX37" s="813"/>
      <c r="BY37" s="813"/>
      <c r="BZ37" s="813"/>
      <c r="CA37" s="813"/>
      <c r="CB37" s="813"/>
      <c r="CC37" s="813"/>
    </row>
    <row r="38" spans="1:81" s="855" customFormat="1" ht="109.8" customHeight="1" thickBot="1" x14ac:dyDescent="0.35">
      <c r="A38" s="830">
        <v>16</v>
      </c>
      <c r="B38" s="1097" t="s">
        <v>1578</v>
      </c>
      <c r="C38" s="1097"/>
      <c r="D38" s="1098"/>
      <c r="E38" s="925" t="str">
        <f>IF(AND(Import!L214=2,Import!L215=2,Import!L217=2,AND(Import!L223&lt;=0,Import!L224&lt;=0)),"No","Yes")</f>
        <v>Yes</v>
      </c>
      <c r="F38" s="913"/>
      <c r="G38" s="875" t="str">
        <f>E38</f>
        <v>Yes</v>
      </c>
      <c r="H38" s="1048" t="s">
        <v>1870</v>
      </c>
      <c r="I38" s="849" t="s">
        <v>1472</v>
      </c>
      <c r="J38" s="807"/>
      <c r="K38" s="827"/>
      <c r="L38" s="810"/>
      <c r="M38" s="810"/>
      <c r="N38" s="810"/>
      <c r="O38" s="810"/>
      <c r="P38" s="811"/>
      <c r="Q38" s="812"/>
      <c r="R38" s="812"/>
      <c r="S38" s="812"/>
      <c r="T38" s="812"/>
      <c r="U38" s="812"/>
      <c r="V38" s="812"/>
      <c r="W38" s="812"/>
      <c r="X38" s="812"/>
      <c r="Y38" s="812"/>
      <c r="Z38" s="812"/>
      <c r="AA38" s="812"/>
      <c r="AB38" s="812"/>
      <c r="AC38" s="812"/>
      <c r="AD38" s="812"/>
      <c r="AE38" s="812"/>
      <c r="AF38" s="812"/>
      <c r="AG38" s="812"/>
      <c r="AH38" s="812"/>
      <c r="AI38" s="812"/>
      <c r="AJ38" s="812"/>
      <c r="AK38" s="812"/>
      <c r="AL38" s="812"/>
      <c r="AM38" s="812"/>
      <c r="AN38" s="812"/>
      <c r="AO38" s="812"/>
      <c r="AP38" s="812"/>
      <c r="AQ38" s="812"/>
      <c r="AR38" s="812"/>
      <c r="AS38" s="812"/>
      <c r="AT38" s="812"/>
      <c r="AU38" s="812"/>
      <c r="AV38" s="812"/>
      <c r="AW38" s="812"/>
      <c r="AX38" s="812"/>
      <c r="AY38" s="812"/>
      <c r="AZ38" s="812"/>
      <c r="BA38" s="812"/>
      <c r="BB38" s="812"/>
      <c r="BC38" s="812"/>
      <c r="BD38" s="812"/>
      <c r="BE38" s="812"/>
      <c r="BF38" s="812"/>
      <c r="BG38" s="812"/>
      <c r="BH38" s="813"/>
      <c r="BI38" s="813"/>
      <c r="BJ38" s="813"/>
      <c r="BK38" s="813"/>
      <c r="BL38" s="813"/>
      <c r="BM38" s="813"/>
      <c r="BN38" s="813"/>
      <c r="BO38" s="813"/>
      <c r="BP38" s="813"/>
      <c r="BQ38" s="813"/>
      <c r="BR38" s="813"/>
      <c r="BS38" s="813"/>
      <c r="BT38" s="813"/>
      <c r="BU38" s="813"/>
      <c r="BV38" s="813"/>
      <c r="BW38" s="813"/>
      <c r="BX38" s="813"/>
      <c r="BY38" s="813"/>
      <c r="BZ38" s="813"/>
      <c r="CA38" s="813"/>
      <c r="CB38" s="813"/>
      <c r="CC38" s="813"/>
    </row>
    <row r="39" spans="1:81" s="855" customFormat="1" ht="98.4" customHeight="1" thickBot="1" x14ac:dyDescent="0.35">
      <c r="A39" s="973">
        <v>17</v>
      </c>
      <c r="B39" s="1112" t="s">
        <v>1912</v>
      </c>
      <c r="C39" s="1113"/>
      <c r="D39" s="1114"/>
      <c r="E39" s="875" t="str">
        <f>IF(Import!L218=1,"Yes",IF(Import!L218=2,"No",IF(Import!L218=0,"This question must be answered.  See cell C17 on TD")))</f>
        <v>This question must be answered.  See cell C17 on TD</v>
      </c>
      <c r="F39" s="913"/>
      <c r="G39" s="875" t="str">
        <f>E39</f>
        <v>This question must be answered.  See cell C17 on TD</v>
      </c>
      <c r="H39" s="912" t="s">
        <v>1935</v>
      </c>
      <c r="I39" s="849" t="s">
        <v>1467</v>
      </c>
      <c r="J39" s="807"/>
      <c r="K39" s="827"/>
      <c r="L39" s="810"/>
      <c r="M39" s="810"/>
      <c r="N39" s="810"/>
      <c r="O39" s="810"/>
      <c r="P39" s="811"/>
      <c r="Q39" s="812"/>
      <c r="U39" s="812"/>
      <c r="V39" s="812"/>
      <c r="W39" s="812"/>
      <c r="X39" s="812"/>
      <c r="Y39" s="812"/>
      <c r="Z39" s="812"/>
      <c r="AA39" s="812"/>
      <c r="AB39" s="812"/>
      <c r="AC39" s="812"/>
      <c r="AD39" s="812"/>
      <c r="AE39" s="812"/>
      <c r="AF39" s="812"/>
      <c r="AG39" s="812"/>
      <c r="AH39" s="812"/>
      <c r="AI39" s="812"/>
      <c r="AJ39" s="812"/>
      <c r="AK39" s="812"/>
      <c r="AL39" s="812"/>
      <c r="AM39" s="812"/>
      <c r="AN39" s="812"/>
      <c r="AO39" s="812"/>
      <c r="AP39" s="812"/>
      <c r="AQ39" s="812"/>
      <c r="AR39" s="812"/>
      <c r="AS39" s="812"/>
      <c r="AT39" s="812"/>
      <c r="AU39" s="812"/>
      <c r="AV39" s="812"/>
      <c r="AW39" s="812"/>
      <c r="AX39" s="812"/>
      <c r="AY39" s="812"/>
      <c r="AZ39" s="812"/>
      <c r="BA39" s="812"/>
      <c r="BB39" s="812"/>
      <c r="BC39" s="812"/>
      <c r="BD39" s="812"/>
      <c r="BE39" s="812"/>
      <c r="BF39" s="812"/>
      <c r="BG39" s="812"/>
      <c r="BH39" s="813"/>
      <c r="BI39" s="813"/>
      <c r="BJ39" s="813"/>
      <c r="BK39" s="813"/>
      <c r="BL39" s="813"/>
      <c r="BM39" s="813"/>
      <c r="BN39" s="813"/>
      <c r="BO39" s="813"/>
      <c r="BP39" s="813"/>
      <c r="BQ39" s="813"/>
      <c r="BR39" s="813"/>
      <c r="BS39" s="813"/>
      <c r="BT39" s="813"/>
      <c r="BU39" s="813"/>
      <c r="BV39" s="813"/>
      <c r="BW39" s="813"/>
      <c r="BX39" s="813"/>
      <c r="BY39" s="813"/>
      <c r="BZ39" s="813"/>
      <c r="CA39" s="813"/>
      <c r="CB39" s="813"/>
      <c r="CC39" s="813"/>
    </row>
    <row r="40" spans="1:81" s="855" customFormat="1" ht="106.2" customHeight="1" thickBot="1" x14ac:dyDescent="0.35">
      <c r="A40" s="973">
        <v>18</v>
      </c>
      <c r="B40" s="1112" t="s">
        <v>1672</v>
      </c>
      <c r="C40" s="1113"/>
      <c r="D40" s="1114"/>
      <c r="E40" s="875" t="str">
        <f>IF(Import!L220=1,"Yes",IF(Import!L220=2,"No",IF(Import!L220=0,"This question must be answered.  See cell C19 on TD")))</f>
        <v>This question must be answered.  See cell C19 on TD</v>
      </c>
      <c r="F40" s="913"/>
      <c r="G40" s="875" t="str">
        <f>E40</f>
        <v>This question must be answered.  See cell C19 on TD</v>
      </c>
      <c r="H40" s="912" t="s">
        <v>1943</v>
      </c>
      <c r="I40" s="849" t="s">
        <v>1565</v>
      </c>
      <c r="J40" s="807"/>
      <c r="K40" s="827"/>
      <c r="L40" s="810"/>
      <c r="M40" s="810"/>
      <c r="N40" s="810"/>
      <c r="O40" s="810"/>
      <c r="P40" s="811"/>
      <c r="Q40" s="812"/>
      <c r="R40" s="812"/>
      <c r="S40" s="812"/>
      <c r="T40" s="812"/>
      <c r="U40" s="812"/>
      <c r="V40" s="812"/>
      <c r="W40" s="812"/>
      <c r="X40" s="812"/>
      <c r="Y40" s="812"/>
      <c r="Z40" s="812"/>
      <c r="AA40" s="812"/>
      <c r="AB40" s="812"/>
      <c r="AC40" s="812"/>
      <c r="AD40" s="812"/>
      <c r="AE40" s="812"/>
      <c r="AF40" s="812"/>
      <c r="AG40" s="812"/>
      <c r="AH40" s="812"/>
      <c r="AI40" s="812"/>
      <c r="AJ40" s="812"/>
      <c r="AK40" s="812"/>
      <c r="AL40" s="812"/>
      <c r="AM40" s="812"/>
      <c r="AN40" s="812"/>
      <c r="AO40" s="812"/>
      <c r="AP40" s="812"/>
      <c r="AQ40" s="812"/>
      <c r="AR40" s="812"/>
      <c r="AS40" s="812"/>
      <c r="AT40" s="812"/>
      <c r="AU40" s="812"/>
      <c r="AV40" s="812"/>
      <c r="AW40" s="812"/>
      <c r="AX40" s="812"/>
      <c r="AY40" s="812"/>
      <c r="AZ40" s="812"/>
      <c r="BA40" s="812"/>
      <c r="BB40" s="812"/>
      <c r="BC40" s="812"/>
      <c r="BD40" s="812"/>
      <c r="BE40" s="812"/>
      <c r="BF40" s="812"/>
      <c r="BG40" s="812"/>
      <c r="BH40" s="813"/>
      <c r="BI40" s="813"/>
      <c r="BJ40" s="813"/>
      <c r="BK40" s="813"/>
      <c r="BL40" s="813"/>
      <c r="BM40" s="813"/>
      <c r="BN40" s="813"/>
      <c r="BO40" s="813"/>
      <c r="BP40" s="813"/>
      <c r="BQ40" s="813"/>
      <c r="BR40" s="813"/>
      <c r="BS40" s="813"/>
      <c r="BT40" s="813"/>
      <c r="BU40" s="813"/>
      <c r="BV40" s="813"/>
      <c r="BW40" s="813"/>
      <c r="BX40" s="813"/>
      <c r="BY40" s="813"/>
      <c r="BZ40" s="813"/>
      <c r="CA40" s="813"/>
      <c r="CB40" s="813"/>
      <c r="CC40" s="813"/>
    </row>
    <row r="41" spans="1:81" s="855" customFormat="1" ht="18" customHeight="1" thickBot="1" x14ac:dyDescent="0.35">
      <c r="A41" s="907"/>
      <c r="B41" s="1115" t="s">
        <v>851</v>
      </c>
      <c r="C41" s="1115"/>
      <c r="D41" s="1116"/>
      <c r="E41" s="866">
        <v>2024</v>
      </c>
      <c r="F41" s="901" t="s">
        <v>852</v>
      </c>
      <c r="G41" s="915"/>
      <c r="H41" s="902"/>
      <c r="I41" s="916"/>
      <c r="J41" s="904"/>
      <c r="K41" s="827"/>
      <c r="L41" s="810"/>
      <c r="M41" s="810"/>
      <c r="N41" s="810"/>
      <c r="O41" s="810"/>
      <c r="P41" s="811"/>
      <c r="Q41" s="812"/>
      <c r="R41" s="812"/>
      <c r="S41" s="812"/>
      <c r="T41" s="812"/>
      <c r="U41" s="812"/>
      <c r="V41" s="812"/>
      <c r="W41" s="812"/>
      <c r="X41" s="812"/>
      <c r="Y41" s="812"/>
      <c r="Z41" s="812"/>
      <c r="AA41" s="812"/>
      <c r="AB41" s="812"/>
      <c r="AC41" s="812"/>
      <c r="AD41" s="812"/>
      <c r="AE41" s="812"/>
      <c r="AF41" s="812"/>
      <c r="AG41" s="812"/>
      <c r="AH41" s="812"/>
      <c r="AI41" s="812"/>
      <c r="AJ41" s="812"/>
      <c r="AK41" s="812"/>
      <c r="AL41" s="812"/>
      <c r="AM41" s="812"/>
      <c r="AN41" s="812"/>
      <c r="AO41" s="812"/>
      <c r="AP41" s="812"/>
      <c r="AQ41" s="812"/>
      <c r="AR41" s="812"/>
      <c r="AS41" s="812"/>
      <c r="AT41" s="812"/>
      <c r="AU41" s="812"/>
      <c r="AV41" s="812"/>
      <c r="AW41" s="812"/>
      <c r="AX41" s="812"/>
      <c r="AY41" s="812"/>
      <c r="AZ41" s="812"/>
      <c r="BA41" s="812"/>
      <c r="BB41" s="812"/>
      <c r="BC41" s="812"/>
      <c r="BD41" s="812"/>
      <c r="BE41" s="812"/>
      <c r="BF41" s="812"/>
      <c r="BG41" s="812"/>
      <c r="BH41" s="813"/>
      <c r="BI41" s="813"/>
      <c r="BJ41" s="813"/>
      <c r="BK41" s="813"/>
      <c r="BL41" s="813"/>
      <c r="BM41" s="813"/>
      <c r="BN41" s="813"/>
      <c r="BO41" s="813"/>
      <c r="BP41" s="813"/>
      <c r="BQ41" s="813"/>
      <c r="BR41" s="813"/>
      <c r="BS41" s="813"/>
      <c r="BT41" s="813"/>
      <c r="BU41" s="813"/>
      <c r="BV41" s="813"/>
      <c r="BW41" s="813"/>
      <c r="BX41" s="813"/>
      <c r="BY41" s="813"/>
      <c r="BZ41" s="813"/>
      <c r="CA41" s="813"/>
      <c r="CB41" s="813"/>
      <c r="CC41" s="813"/>
    </row>
    <row r="42" spans="1:81" s="855" customFormat="1" ht="82.8" customHeight="1" thickBot="1" x14ac:dyDescent="0.35">
      <c r="A42" s="973">
        <v>19</v>
      </c>
      <c r="B42" s="1117" t="s">
        <v>1079</v>
      </c>
      <c r="C42" s="1117"/>
      <c r="D42" s="1118"/>
      <c r="E42" s="875" t="str">
        <f>IF(Import!L227=1,"Yes",IF(Import!L227=2,"No",IF(Import!L227=3,"N/A",IF(Import!L227=0,"This question must be answered.  See cell C26 on TD"))))</f>
        <v>This question must be answered.  See cell C26 on TD</v>
      </c>
      <c r="F42" s="913"/>
      <c r="G42" s="875" t="str">
        <f>E42</f>
        <v>This question must be answered.  See cell C26 on TD</v>
      </c>
      <c r="H42" s="912" t="s">
        <v>1871</v>
      </c>
      <c r="I42" s="890" t="s">
        <v>649</v>
      </c>
      <c r="J42" s="807"/>
      <c r="K42" s="827"/>
      <c r="L42" s="810"/>
      <c r="M42" s="810"/>
      <c r="N42" s="810"/>
      <c r="O42" s="810"/>
      <c r="P42" s="811"/>
      <c r="Q42" s="812"/>
      <c r="R42" s="812"/>
      <c r="S42" s="812"/>
      <c r="T42" s="812"/>
      <c r="U42" s="812"/>
      <c r="V42" s="812"/>
      <c r="W42" s="812"/>
      <c r="X42" s="812"/>
      <c r="Y42" s="812"/>
      <c r="Z42" s="812"/>
      <c r="AA42" s="812"/>
      <c r="AB42" s="812"/>
      <c r="AC42" s="812"/>
      <c r="AD42" s="812"/>
      <c r="AE42" s="812"/>
      <c r="AF42" s="812"/>
      <c r="AG42" s="812"/>
      <c r="AH42" s="812"/>
      <c r="AI42" s="812"/>
      <c r="AJ42" s="812"/>
      <c r="AK42" s="812"/>
      <c r="AL42" s="812"/>
      <c r="AM42" s="812"/>
      <c r="AN42" s="812"/>
      <c r="AO42" s="812"/>
      <c r="AP42" s="812"/>
      <c r="AQ42" s="812"/>
      <c r="AR42" s="812"/>
      <c r="AS42" s="812"/>
      <c r="AT42" s="812"/>
      <c r="AU42" s="812"/>
      <c r="AV42" s="812"/>
      <c r="AW42" s="812"/>
      <c r="AX42" s="812"/>
      <c r="AY42" s="812"/>
      <c r="AZ42" s="812"/>
      <c r="BA42" s="812"/>
      <c r="BB42" s="812"/>
      <c r="BC42" s="812"/>
      <c r="BD42" s="812"/>
      <c r="BE42" s="812"/>
      <c r="BF42" s="812"/>
      <c r="BG42" s="812"/>
      <c r="BH42" s="813"/>
      <c r="BI42" s="813"/>
      <c r="BJ42" s="813"/>
      <c r="BK42" s="813"/>
      <c r="BL42" s="813"/>
      <c r="BM42" s="813"/>
      <c r="BN42" s="813"/>
      <c r="BO42" s="813"/>
      <c r="BP42" s="813"/>
      <c r="BQ42" s="813"/>
      <c r="BR42" s="813"/>
      <c r="BS42" s="813"/>
      <c r="BT42" s="813"/>
      <c r="BU42" s="813"/>
      <c r="BV42" s="813"/>
      <c r="BW42" s="813"/>
      <c r="BX42" s="813"/>
      <c r="BY42" s="813"/>
      <c r="BZ42" s="813"/>
      <c r="CA42" s="813"/>
      <c r="CB42" s="813"/>
      <c r="CC42" s="813"/>
    </row>
    <row r="43" spans="1:81" s="855" customFormat="1" ht="18" customHeight="1" thickBot="1" x14ac:dyDescent="0.35">
      <c r="A43" s="907"/>
      <c r="B43" s="1107"/>
      <c r="C43" s="1107"/>
      <c r="D43" s="1108"/>
      <c r="E43" s="866">
        <v>2024</v>
      </c>
      <c r="F43" s="893" t="s">
        <v>852</v>
      </c>
      <c r="G43" s="902"/>
      <c r="H43" s="910"/>
      <c r="I43" s="903"/>
      <c r="J43" s="904"/>
      <c r="K43" s="827"/>
      <c r="L43" s="810"/>
      <c r="M43" s="810"/>
      <c r="N43" s="810"/>
      <c r="O43" s="810"/>
      <c r="P43" s="811"/>
      <c r="Q43" s="812"/>
      <c r="R43" s="812"/>
      <c r="S43" s="812"/>
      <c r="T43" s="812"/>
      <c r="U43" s="812"/>
      <c r="V43" s="812"/>
      <c r="W43" s="812"/>
      <c r="X43" s="812"/>
      <c r="Y43" s="812"/>
      <c r="Z43" s="812"/>
      <c r="AA43" s="812"/>
      <c r="AB43" s="812"/>
      <c r="AC43" s="812"/>
      <c r="AD43" s="812"/>
      <c r="AE43" s="812"/>
      <c r="AF43" s="812"/>
      <c r="AG43" s="812"/>
      <c r="AH43" s="812"/>
      <c r="AI43" s="812"/>
      <c r="AJ43" s="812"/>
      <c r="AK43" s="812"/>
      <c r="AL43" s="812"/>
      <c r="AM43" s="812"/>
      <c r="AN43" s="812"/>
      <c r="AO43" s="812"/>
      <c r="AP43" s="812"/>
      <c r="AQ43" s="812"/>
      <c r="AR43" s="812"/>
      <c r="AS43" s="812"/>
      <c r="AT43" s="812"/>
      <c r="AU43" s="812"/>
      <c r="AV43" s="812"/>
      <c r="AW43" s="812"/>
      <c r="AX43" s="812"/>
      <c r="AY43" s="812"/>
      <c r="AZ43" s="812"/>
      <c r="BA43" s="812"/>
      <c r="BB43" s="812"/>
      <c r="BC43" s="812"/>
      <c r="BD43" s="812"/>
      <c r="BE43" s="812"/>
      <c r="BF43" s="812"/>
      <c r="BG43" s="812"/>
      <c r="BH43" s="813"/>
      <c r="BI43" s="813"/>
      <c r="BJ43" s="813"/>
      <c r="BK43" s="813"/>
      <c r="BL43" s="813"/>
      <c r="BM43" s="813"/>
      <c r="BN43" s="813"/>
      <c r="BO43" s="813"/>
      <c r="BP43" s="813"/>
      <c r="BQ43" s="813"/>
      <c r="BR43" s="813"/>
      <c r="BS43" s="813"/>
      <c r="BT43" s="813"/>
      <c r="BU43" s="813"/>
      <c r="BV43" s="813"/>
      <c r="BW43" s="813"/>
      <c r="BX43" s="813"/>
      <c r="BY43" s="813"/>
      <c r="BZ43" s="813"/>
      <c r="CA43" s="813"/>
      <c r="CB43" s="813"/>
      <c r="CC43" s="813"/>
    </row>
    <row r="44" spans="1:81" s="855" customFormat="1" ht="130.19999999999999" customHeight="1" thickBot="1" x14ac:dyDescent="0.35">
      <c r="A44" s="830">
        <v>20</v>
      </c>
      <c r="B44" s="1098" t="s">
        <v>1478</v>
      </c>
      <c r="C44" s="1109"/>
      <c r="D44" s="1109"/>
      <c r="E44" s="917" t="str">
        <f>IF('Electric trans'!F24="No, unit exceeds limit by:","Yes","No")</f>
        <v>No</v>
      </c>
      <c r="F44" s="913"/>
      <c r="G44" s="917" t="str">
        <f>+E44</f>
        <v>No</v>
      </c>
      <c r="H44" s="841" t="s">
        <v>1874</v>
      </c>
      <c r="I44" s="890" t="s">
        <v>1482</v>
      </c>
      <c r="J44" s="807"/>
      <c r="K44" s="827"/>
      <c r="L44" s="810"/>
      <c r="M44" s="810"/>
      <c r="N44" s="810"/>
      <c r="O44" s="810"/>
      <c r="P44" s="811"/>
      <c r="Q44" s="812"/>
      <c r="R44" s="812"/>
      <c r="S44" s="812"/>
      <c r="T44" s="812"/>
      <c r="U44" s="812"/>
      <c r="V44" s="812"/>
      <c r="W44" s="812"/>
      <c r="X44" s="812"/>
      <c r="Y44" s="812"/>
      <c r="Z44" s="812"/>
      <c r="AA44" s="812"/>
      <c r="AB44" s="812"/>
      <c r="AC44" s="812"/>
      <c r="AD44" s="812"/>
      <c r="AE44" s="812"/>
      <c r="AF44" s="812"/>
      <c r="AG44" s="812"/>
      <c r="AH44" s="812"/>
      <c r="AI44" s="812"/>
      <c r="AJ44" s="812"/>
      <c r="AK44" s="812"/>
      <c r="AL44" s="812"/>
      <c r="AM44" s="812"/>
      <c r="AN44" s="812"/>
      <c r="AO44" s="812"/>
      <c r="AP44" s="812"/>
      <c r="AQ44" s="812"/>
      <c r="AR44" s="812"/>
      <c r="AS44" s="812"/>
      <c r="AT44" s="812"/>
      <c r="AU44" s="812"/>
      <c r="AV44" s="812"/>
      <c r="AW44" s="812"/>
      <c r="AX44" s="812"/>
      <c r="AY44" s="812"/>
      <c r="AZ44" s="812"/>
      <c r="BA44" s="812"/>
      <c r="BB44" s="812"/>
      <c r="BC44" s="812"/>
      <c r="BD44" s="812"/>
      <c r="BE44" s="812"/>
      <c r="BF44" s="812"/>
      <c r="BG44" s="812"/>
      <c r="BH44" s="813"/>
      <c r="BI44" s="813"/>
      <c r="BJ44" s="813"/>
      <c r="BK44" s="813"/>
      <c r="BL44" s="813"/>
      <c r="BM44" s="813"/>
      <c r="BN44" s="813"/>
      <c r="BO44" s="813"/>
      <c r="BP44" s="813"/>
      <c r="BQ44" s="813"/>
      <c r="BR44" s="813"/>
      <c r="BS44" s="813"/>
      <c r="BT44" s="813"/>
      <c r="BU44" s="813"/>
      <c r="BV44" s="813"/>
      <c r="BW44" s="813"/>
      <c r="BX44" s="813"/>
      <c r="BY44" s="813"/>
      <c r="BZ44" s="813"/>
      <c r="CA44" s="813"/>
      <c r="CB44" s="813"/>
      <c r="CC44" s="813"/>
    </row>
    <row r="45" spans="1:81" s="855" customFormat="1" ht="18" customHeight="1" thickBot="1" x14ac:dyDescent="0.35">
      <c r="A45" s="907"/>
      <c r="B45" s="1110"/>
      <c r="C45" s="1110"/>
      <c r="D45" s="1111"/>
      <c r="E45" s="866">
        <v>2024</v>
      </c>
      <c r="F45" s="901" t="s">
        <v>852</v>
      </c>
      <c r="G45" s="915"/>
      <c r="H45" s="902"/>
      <c r="I45" s="903"/>
      <c r="J45" s="904"/>
      <c r="K45" s="827"/>
      <c r="L45" s="810"/>
      <c r="M45" s="810"/>
      <c r="N45" s="810"/>
      <c r="O45" s="810"/>
      <c r="P45" s="811"/>
      <c r="Q45" s="812"/>
      <c r="R45" s="812"/>
      <c r="S45" s="812"/>
      <c r="T45" s="812"/>
      <c r="U45" s="812"/>
      <c r="V45" s="812"/>
      <c r="W45" s="812"/>
      <c r="X45" s="812"/>
      <c r="Y45" s="812"/>
      <c r="Z45" s="812"/>
      <c r="AA45" s="812"/>
      <c r="AB45" s="812"/>
      <c r="AC45" s="812"/>
      <c r="AD45" s="812"/>
      <c r="AE45" s="812"/>
      <c r="AF45" s="812"/>
      <c r="AG45" s="812"/>
      <c r="AH45" s="812"/>
      <c r="AI45" s="812"/>
      <c r="AJ45" s="812"/>
      <c r="AK45" s="812"/>
      <c r="AL45" s="812"/>
      <c r="AM45" s="812"/>
      <c r="AN45" s="812"/>
      <c r="AO45" s="812"/>
      <c r="AP45" s="812"/>
      <c r="AQ45" s="812"/>
      <c r="AR45" s="812"/>
      <c r="AS45" s="812"/>
      <c r="AT45" s="812"/>
      <c r="AU45" s="812"/>
      <c r="AV45" s="812"/>
      <c r="AW45" s="812"/>
      <c r="AX45" s="812"/>
      <c r="AY45" s="812"/>
      <c r="AZ45" s="812"/>
      <c r="BA45" s="812"/>
      <c r="BB45" s="812"/>
      <c r="BC45" s="812"/>
      <c r="BD45" s="812"/>
      <c r="BE45" s="812"/>
      <c r="BF45" s="812"/>
      <c r="BG45" s="812"/>
      <c r="BH45" s="813"/>
      <c r="BI45" s="813"/>
      <c r="BJ45" s="813"/>
      <c r="BK45" s="813"/>
      <c r="BL45" s="813"/>
      <c r="BM45" s="813"/>
      <c r="BN45" s="813"/>
      <c r="BO45" s="813"/>
      <c r="BP45" s="813"/>
      <c r="BQ45" s="813"/>
      <c r="BR45" s="813"/>
      <c r="BS45" s="813"/>
      <c r="BT45" s="813"/>
      <c r="BU45" s="813"/>
      <c r="BV45" s="813"/>
      <c r="BW45" s="813"/>
      <c r="BX45" s="813"/>
      <c r="BY45" s="813"/>
      <c r="BZ45" s="813"/>
      <c r="CA45" s="813"/>
      <c r="CB45" s="813"/>
      <c r="CC45" s="813"/>
    </row>
    <row r="46" spans="1:81" s="855" customFormat="1" ht="99.75" customHeight="1" thickBot="1" x14ac:dyDescent="0.35">
      <c r="A46" s="830">
        <v>21</v>
      </c>
      <c r="B46" s="1105" t="s">
        <v>1944</v>
      </c>
      <c r="C46" s="1106"/>
      <c r="D46" s="1106"/>
      <c r="E46" s="926" t="str">
        <f>IF(Import!L225&gt;0,"Yes","No")</f>
        <v>No</v>
      </c>
      <c r="F46" s="913"/>
      <c r="G46" s="875" t="str">
        <f>E46</f>
        <v>No</v>
      </c>
      <c r="H46" s="987" t="s">
        <v>1872</v>
      </c>
      <c r="I46" s="890" t="s">
        <v>1483</v>
      </c>
      <c r="J46" s="807"/>
      <c r="K46" s="827"/>
      <c r="L46" s="810"/>
      <c r="M46" s="918"/>
      <c r="N46" s="810"/>
      <c r="O46" s="810"/>
      <c r="P46" s="811"/>
      <c r="Q46" s="812"/>
      <c r="R46" s="812"/>
      <c r="S46" s="812"/>
      <c r="T46" s="812"/>
      <c r="U46" s="812"/>
      <c r="V46" s="812"/>
      <c r="W46" s="812"/>
      <c r="X46" s="812"/>
      <c r="Y46" s="812"/>
      <c r="Z46" s="812"/>
      <c r="AA46" s="812"/>
      <c r="AB46" s="812"/>
      <c r="AC46" s="812"/>
      <c r="AD46" s="812"/>
      <c r="AE46" s="812"/>
      <c r="AF46" s="812"/>
      <c r="AG46" s="812"/>
      <c r="AH46" s="812"/>
      <c r="AI46" s="812"/>
      <c r="AJ46" s="812"/>
      <c r="AK46" s="812"/>
      <c r="AL46" s="812"/>
      <c r="AM46" s="812"/>
      <c r="AN46" s="812"/>
      <c r="AO46" s="812"/>
      <c r="AP46" s="812"/>
      <c r="AQ46" s="812"/>
      <c r="AR46" s="812"/>
      <c r="AS46" s="812"/>
      <c r="AT46" s="812"/>
      <c r="AU46" s="812"/>
      <c r="AV46" s="812"/>
      <c r="AW46" s="812"/>
      <c r="AX46" s="812"/>
      <c r="AY46" s="812"/>
      <c r="AZ46" s="812"/>
      <c r="BA46" s="812"/>
      <c r="BB46" s="812"/>
      <c r="BC46" s="812"/>
      <c r="BD46" s="812"/>
      <c r="BE46" s="812"/>
      <c r="BF46" s="812"/>
      <c r="BG46" s="812"/>
      <c r="BH46" s="813"/>
      <c r="BI46" s="813"/>
      <c r="BJ46" s="813"/>
      <c r="BK46" s="813"/>
      <c r="BL46" s="813"/>
      <c r="BM46" s="813"/>
      <c r="BN46" s="813"/>
      <c r="BO46" s="813"/>
      <c r="BP46" s="813"/>
      <c r="BQ46" s="813"/>
      <c r="BR46" s="813"/>
      <c r="BS46" s="813"/>
      <c r="BT46" s="813"/>
      <c r="BU46" s="813"/>
      <c r="BV46" s="813"/>
      <c r="BW46" s="813"/>
      <c r="BX46" s="813"/>
      <c r="BY46" s="813"/>
      <c r="BZ46" s="813"/>
      <c r="CA46" s="813"/>
      <c r="CB46" s="813"/>
      <c r="CC46" s="813"/>
    </row>
    <row r="47" spans="1:81" s="923" customFormat="1" x14ac:dyDescent="0.3">
      <c r="A47" s="919"/>
      <c r="B47" s="920"/>
      <c r="C47" s="920"/>
      <c r="D47" s="920"/>
      <c r="E47" s="920"/>
      <c r="F47" s="920"/>
      <c r="G47" s="920"/>
      <c r="H47" s="920"/>
      <c r="I47" s="921"/>
      <c r="J47" s="921"/>
      <c r="K47" s="922"/>
      <c r="L47" s="810"/>
      <c r="M47" s="810"/>
      <c r="N47" s="810"/>
      <c r="O47" s="810"/>
      <c r="P47" s="811"/>
      <c r="Q47" s="812"/>
      <c r="R47" s="812"/>
      <c r="S47" s="812"/>
      <c r="T47" s="812"/>
      <c r="U47" s="812"/>
      <c r="V47" s="812"/>
      <c r="W47" s="812"/>
      <c r="X47" s="812"/>
      <c r="Y47" s="812"/>
      <c r="Z47" s="812"/>
      <c r="AA47" s="812"/>
      <c r="AB47" s="812"/>
      <c r="AC47" s="812"/>
      <c r="AD47" s="812"/>
      <c r="AE47" s="812"/>
      <c r="AF47" s="812"/>
      <c r="AG47" s="812"/>
      <c r="AH47" s="812"/>
      <c r="AI47" s="812"/>
      <c r="AJ47" s="812"/>
      <c r="AK47" s="812"/>
      <c r="AL47" s="812"/>
      <c r="AM47" s="812"/>
      <c r="AN47" s="812"/>
      <c r="AO47" s="812"/>
      <c r="AP47" s="812"/>
      <c r="AQ47" s="812"/>
      <c r="AR47" s="812"/>
      <c r="AS47" s="812"/>
      <c r="AT47" s="812"/>
      <c r="AU47" s="812"/>
      <c r="AV47" s="812"/>
      <c r="AW47" s="812"/>
      <c r="AX47" s="812"/>
      <c r="AY47" s="812"/>
      <c r="AZ47" s="812"/>
      <c r="BA47" s="812"/>
      <c r="BB47" s="812"/>
      <c r="BC47" s="812"/>
      <c r="BD47" s="812"/>
      <c r="BE47" s="812"/>
      <c r="BF47" s="812"/>
      <c r="BG47" s="812"/>
      <c r="BH47" s="813"/>
      <c r="BI47" s="813"/>
      <c r="BJ47" s="813"/>
      <c r="BK47" s="813"/>
      <c r="BL47" s="813"/>
      <c r="BM47" s="813"/>
      <c r="BN47" s="813"/>
      <c r="BO47" s="813"/>
      <c r="BP47" s="813"/>
      <c r="BQ47" s="813"/>
      <c r="BR47" s="813"/>
      <c r="BS47" s="813"/>
      <c r="BT47" s="813"/>
      <c r="BU47" s="813"/>
      <c r="BV47" s="813"/>
      <c r="BW47" s="813"/>
      <c r="BX47" s="813"/>
      <c r="BY47" s="813"/>
      <c r="BZ47" s="813"/>
      <c r="CA47" s="813"/>
      <c r="CB47" s="813"/>
      <c r="CC47" s="813"/>
    </row>
  </sheetData>
  <sheetProtection algorithmName="SHA-512" hashValue="oYLWI+tzIdrnlvGBi7UXEjXn+8Ggz+gf8DCuKscicqtEVn1e/I8E7l93LWn1fC2panBZaIxMcPlSaPV+krAsFw==" saltValue="4pID+vx1iWAADyOpPY3/wQ==" spinCount="100000" sheet="1" objects="1" scenarios="1"/>
  <mergeCells count="40">
    <mergeCell ref="B15:E15"/>
    <mergeCell ref="B14:E14"/>
    <mergeCell ref="B34:D34"/>
    <mergeCell ref="B33:D33"/>
    <mergeCell ref="B20:D20"/>
    <mergeCell ref="B24:E24"/>
    <mergeCell ref="B25:E25"/>
    <mergeCell ref="B29:D29"/>
    <mergeCell ref="B30:D30"/>
    <mergeCell ref="B8:G9"/>
    <mergeCell ref="B10:E10"/>
    <mergeCell ref="B12:E12"/>
    <mergeCell ref="I1:J1"/>
    <mergeCell ref="B1:H1"/>
    <mergeCell ref="B2:H2"/>
    <mergeCell ref="C4:E4"/>
    <mergeCell ref="F4:G5"/>
    <mergeCell ref="H4:H5"/>
    <mergeCell ref="C5:E5"/>
    <mergeCell ref="I2:I7"/>
    <mergeCell ref="J2:J7"/>
    <mergeCell ref="B6:H7"/>
    <mergeCell ref="J8:J9"/>
    <mergeCell ref="H8:H9"/>
    <mergeCell ref="B38:D38"/>
    <mergeCell ref="B11:E11"/>
    <mergeCell ref="B13:E13"/>
    <mergeCell ref="B46:D46"/>
    <mergeCell ref="B43:D43"/>
    <mergeCell ref="B44:D44"/>
    <mergeCell ref="B45:D45"/>
    <mergeCell ref="B39:D39"/>
    <mergeCell ref="B40:D40"/>
    <mergeCell ref="B41:D41"/>
    <mergeCell ref="B42:D42"/>
    <mergeCell ref="B37:D37"/>
    <mergeCell ref="B31:D31"/>
    <mergeCell ref="B32:D32"/>
    <mergeCell ref="B35:D35"/>
    <mergeCell ref="B36:D36"/>
  </mergeCells>
  <conditionalFormatting sqref="G16">
    <cfRule type="cellIs" dxfId="79" priority="72" operator="lessThan">
      <formula>1</formula>
    </cfRule>
  </conditionalFormatting>
  <conditionalFormatting sqref="G18">
    <cfRule type="cellIs" dxfId="78" priority="71" operator="lessThan">
      <formula>0</formula>
    </cfRule>
  </conditionalFormatting>
  <conditionalFormatting sqref="G19:G20">
    <cfRule type="cellIs" dxfId="77" priority="70" operator="lessThan">
      <formula>0.16</formula>
    </cfRule>
  </conditionalFormatting>
  <conditionalFormatting sqref="G25">
    <cfRule type="cellIs" dxfId="76" priority="69" operator="lessThan">
      <formula>1</formula>
    </cfRule>
  </conditionalFormatting>
  <conditionalFormatting sqref="G27">
    <cfRule type="cellIs" dxfId="75" priority="68" operator="lessThan">
      <formula>0</formula>
    </cfRule>
  </conditionalFormatting>
  <conditionalFormatting sqref="G28">
    <cfRule type="cellIs" dxfId="74" priority="67" operator="lessThan">
      <formula>0.16</formula>
    </cfRule>
  </conditionalFormatting>
  <conditionalFormatting sqref="G30">
    <cfRule type="cellIs" dxfId="73" priority="66" operator="equal">
      <formula>"Late"</formula>
    </cfRule>
  </conditionalFormatting>
  <conditionalFormatting sqref="G32">
    <cfRule type="cellIs" dxfId="72" priority="65" operator="lessThan">
      <formula>-0.03</formula>
    </cfRule>
  </conditionalFormatting>
  <conditionalFormatting sqref="G38">
    <cfRule type="cellIs" dxfId="71" priority="63" operator="equal">
      <formula>"Yes"</formula>
    </cfRule>
  </conditionalFormatting>
  <conditionalFormatting sqref="G42">
    <cfRule type="cellIs" dxfId="70" priority="62" operator="equal">
      <formula>"Yes"</formula>
    </cfRule>
  </conditionalFormatting>
  <conditionalFormatting sqref="G36">
    <cfRule type="cellIs" dxfId="69" priority="61" operator="equal">
      <formula>"Yes"</formula>
    </cfRule>
  </conditionalFormatting>
  <conditionalFormatting sqref="G45">
    <cfRule type="cellIs" dxfId="68" priority="60" operator="equal">
      <formula>"Yes"</formula>
    </cfRule>
  </conditionalFormatting>
  <conditionalFormatting sqref="G44">
    <cfRule type="cellIs" dxfId="67" priority="59" operator="equal">
      <formula>"Yes"</formula>
    </cfRule>
  </conditionalFormatting>
  <conditionalFormatting sqref="G34">
    <cfRule type="cellIs" dxfId="66" priority="56" operator="equal">
      <formula>"Decrease"</formula>
    </cfRule>
  </conditionalFormatting>
  <conditionalFormatting sqref="G20">
    <cfRule type="cellIs" dxfId="65" priority="4" operator="equal">
      <formula>$E$21="Yes"</formula>
    </cfRule>
    <cfRule type="expression" dxfId="64" priority="51">
      <formula>E20="Yes"</formula>
    </cfRule>
  </conditionalFormatting>
  <conditionalFormatting sqref="E36 G36">
    <cfRule type="containsText" dxfId="63" priority="50" operator="containsText" text="This question must be answered">
      <formula>NOT(ISERROR(SEARCH("This question must be answered",E36)))</formula>
    </cfRule>
  </conditionalFormatting>
  <conditionalFormatting sqref="E34 G34">
    <cfRule type="containsText" dxfId="62" priority="49" operator="containsText" text="This question must be answered">
      <formula>NOT(ISERROR(SEARCH("This question must be answered",E34)))</formula>
    </cfRule>
  </conditionalFormatting>
  <conditionalFormatting sqref="E32 G32">
    <cfRule type="containsText" dxfId="61" priority="48" operator="containsText" text="This question must be answered">
      <formula>NOT(ISERROR(SEARCH("This question must be answered",E32)))</formula>
    </cfRule>
  </conditionalFormatting>
  <conditionalFormatting sqref="E30 G30">
    <cfRule type="containsText" dxfId="60" priority="47" operator="containsText" text="This question must be answered">
      <formula>NOT(ISERROR(SEARCH("This question must be answered",E30)))</formula>
    </cfRule>
  </conditionalFormatting>
  <conditionalFormatting sqref="E42 G42">
    <cfRule type="containsText" dxfId="59" priority="45" operator="containsText" text="This question must be answered">
      <formula>NOT(ISERROR(SEARCH("This question must be answered",E42)))</formula>
    </cfRule>
  </conditionalFormatting>
  <conditionalFormatting sqref="G46">
    <cfRule type="cellIs" dxfId="58" priority="43" operator="equal">
      <formula>"Yes"</formula>
    </cfRule>
  </conditionalFormatting>
  <conditionalFormatting sqref="G46">
    <cfRule type="containsText" dxfId="57" priority="42" operator="containsText" text="This question must be answered">
      <formula>NOT(ISERROR(SEARCH("This question must be answered",G46)))</formula>
    </cfRule>
  </conditionalFormatting>
  <conditionalFormatting sqref="G13">
    <cfRule type="containsText" dxfId="56" priority="41" operator="containsText" text="Operations">
      <formula>NOT(ISERROR(SEARCH("Operations",G13)))</formula>
    </cfRule>
  </conditionalFormatting>
  <conditionalFormatting sqref="G14">
    <cfRule type="cellIs" dxfId="55" priority="40" operator="lessThan">
      <formula>0</formula>
    </cfRule>
  </conditionalFormatting>
  <conditionalFormatting sqref="E39:E40">
    <cfRule type="containsText" dxfId="54" priority="39" operator="containsText" text="This question must be answered">
      <formula>NOT(ISERROR(SEARCH("This question must be answered",E39)))</formula>
    </cfRule>
  </conditionalFormatting>
  <conditionalFormatting sqref="G39:G40">
    <cfRule type="containsText" dxfId="53" priority="37" operator="containsText" text="No">
      <formula>NOT(ISERROR(SEARCH("No",G39)))</formula>
    </cfRule>
    <cfRule type="containsText" dxfId="52" priority="38" operator="containsText" text="This question must be answered">
      <formula>NOT(ISERROR(SEARCH("This question must be answered",G39)))</formula>
    </cfRule>
  </conditionalFormatting>
  <conditionalFormatting sqref="G11">
    <cfRule type="expression" dxfId="51" priority="28">
      <formula>$O$11=1</formula>
    </cfRule>
  </conditionalFormatting>
  <conditionalFormatting sqref="I9">
    <cfRule type="expression" dxfId="50" priority="135">
      <formula>IF($L$9&lt;0.25,)</formula>
    </cfRule>
  </conditionalFormatting>
  <conditionalFormatting sqref="C18">
    <cfRule type="cellIs" dxfId="49" priority="24" operator="equal">
      <formula>"Prior year data not submitted as of workbook published date."</formula>
    </cfRule>
  </conditionalFormatting>
  <conditionalFormatting sqref="D18">
    <cfRule type="cellIs" dxfId="48" priority="23" operator="equal">
      <formula>"Prior year data not submitted as of workbook published date."</formula>
    </cfRule>
  </conditionalFormatting>
  <conditionalFormatting sqref="L19:L21">
    <cfRule type="cellIs" dxfId="47" priority="22" operator="equal">
      <formula>"Priod year data not submitted as of workbook published date."</formula>
    </cfRule>
  </conditionalFormatting>
  <conditionalFormatting sqref="D19:D29">
    <cfRule type="cellIs" dxfId="46" priority="18" operator="equal">
      <formula>"Prior year data not submitted as of workbook published date."</formula>
    </cfRule>
  </conditionalFormatting>
  <conditionalFormatting sqref="C19:C28">
    <cfRule type="cellIs" dxfId="45" priority="17" operator="equal">
      <formula>"Prior year data not submitted as of workbook published date."</formula>
    </cfRule>
  </conditionalFormatting>
  <conditionalFormatting sqref="C27">
    <cfRule type="cellIs" dxfId="44" priority="16" operator="equal">
      <formula>"Prior year data not submitted as of workbook published date."</formula>
    </cfRule>
  </conditionalFormatting>
  <conditionalFormatting sqref="D27">
    <cfRule type="cellIs" dxfId="43" priority="15" operator="equal">
      <formula>"Prior year data not submitted as of workbook published date."</formula>
    </cfRule>
  </conditionalFormatting>
  <conditionalFormatting sqref="D28">
    <cfRule type="cellIs" dxfId="42" priority="11" operator="equal">
      <formula>"Prior year data not submitted as of  workbook published date."</formula>
    </cfRule>
  </conditionalFormatting>
  <conditionalFormatting sqref="C28">
    <cfRule type="cellIs" dxfId="41" priority="9" operator="equal">
      <formula>"Prior year data not submitted as of workbook published date."</formula>
    </cfRule>
  </conditionalFormatting>
  <conditionalFormatting sqref="F21">
    <cfRule type="expression" dxfId="40" priority="8">
      <formula>D21="Yes"</formula>
    </cfRule>
  </conditionalFormatting>
  <conditionalFormatting sqref="D21">
    <cfRule type="cellIs" dxfId="39" priority="7" operator="equal">
      <formula>"Prior year data not submitted as of workbook published date."</formula>
    </cfRule>
  </conditionalFormatting>
  <conditionalFormatting sqref="C21">
    <cfRule type="cellIs" dxfId="38" priority="6" operator="equal">
      <formula>"Prior year data not submitted as of workbook published date."</formula>
    </cfRule>
  </conditionalFormatting>
  <conditionalFormatting sqref="G21">
    <cfRule type="cellIs" dxfId="37" priority="2" operator="lessThan">
      <formula>0.5</formula>
    </cfRule>
  </conditionalFormatting>
  <conditionalFormatting sqref="M19">
    <cfRule type="cellIs" dxfId="36" priority="1" operator="equal">
      <formula>"Priod year data not submitted as of workbook published date."</formula>
    </cfRule>
  </conditionalFormatting>
  <pageMargins left="0.25" right="0.25" top="0.05" bottom="0.25" header="0.3" footer="0.25"/>
  <pageSetup scale="57" fitToHeight="0" orientation="landscape" r:id="rId1"/>
  <headerFooter>
    <oddFooter>&amp;C&amp;12&amp;P</oddFooter>
  </headerFooter>
  <rowBreaks count="5" manualBreakCount="5">
    <brk id="11" max="7" man="1"/>
    <brk id="14" max="7" man="1"/>
    <brk id="23" max="7" man="1"/>
    <brk id="28" max="7" man="1"/>
    <brk id="40" max="7" man="1"/>
  </rowBreaks>
  <drawing r:id="rId2"/>
  <legacyDrawing r:id="rId3"/>
  <oleObjects>
    <mc:AlternateContent xmlns:mc="http://schemas.openxmlformats.org/markup-compatibility/2006">
      <mc:Choice Requires="x14">
        <oleObject progId="Excel.Sheet.12" shapeId="48129" r:id="rId4">
          <objectPr defaultSize="0" autoPict="0" r:id="rId5">
            <anchor moveWithCells="1">
              <from>
                <xdr:col>1</xdr:col>
                <xdr:colOff>251460</xdr:colOff>
                <xdr:row>7</xdr:row>
                <xdr:rowOff>83820</xdr:rowOff>
              </from>
              <to>
                <xdr:col>6</xdr:col>
                <xdr:colOff>1066800</xdr:colOff>
                <xdr:row>8</xdr:row>
                <xdr:rowOff>1531620</xdr:rowOff>
              </to>
            </anchor>
          </objectPr>
        </oleObject>
      </mc:Choice>
      <mc:Fallback>
        <oleObject progId="Excel.Sheet.12" shapeId="4812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714"/>
  <sheetViews>
    <sheetView zoomScale="93" zoomScaleNormal="93"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46" bestFit="1" customWidth="1"/>
    <col min="3" max="3" width="42.5546875" style="362" customWidth="1"/>
    <col min="4" max="4" width="20.88671875" style="3" bestFit="1" customWidth="1"/>
    <col min="5" max="5" width="17.5546875" style="3" customWidth="1"/>
    <col min="6" max="6" width="22.6640625" style="3" customWidth="1"/>
    <col min="7" max="7" width="17.44140625" style="275" customWidth="1"/>
    <col min="8" max="8" width="9.6640625" style="3" customWidth="1"/>
    <col min="9" max="9" width="1" style="307" customWidth="1"/>
    <col min="10" max="10" width="18.109375" style="5" customWidth="1"/>
    <col min="11" max="11" width="36.88671875" style="9" customWidth="1"/>
    <col min="12" max="12" width="26.33203125" style="369" customWidth="1"/>
    <col min="13" max="13" width="8.44140625" customWidth="1"/>
    <col min="14" max="14" width="18.109375" style="3" customWidth="1"/>
    <col min="15" max="15" width="17.88671875" style="3" customWidth="1"/>
    <col min="16" max="16" width="9.109375" style="187" customWidth="1"/>
    <col min="17" max="17" width="10.33203125" style="277" customWidth="1"/>
    <col min="18" max="18" width="7.109375" style="3" customWidth="1"/>
    <col min="19" max="19" width="6" style="3" customWidth="1"/>
    <col min="20" max="20" width="6.6640625" style="3" customWidth="1"/>
    <col min="21" max="21" width="7.5546875" style="3" customWidth="1"/>
    <col min="22" max="22" width="3.44140625" style="3" customWidth="1"/>
    <col min="23" max="23" width="7.33203125" style="3" customWidth="1"/>
    <col min="24" max="24" width="10.5546875" style="3" customWidth="1"/>
    <col min="25" max="25" width="9.88671875" style="3" customWidth="1"/>
    <col min="26" max="26" width="9.109375" style="3" customWidth="1"/>
    <col min="27" max="16384" width="9.109375" style="3"/>
  </cols>
  <sheetData>
    <row r="1" spans="1:28" ht="36" x14ac:dyDescent="0.3">
      <c r="C1" s="43" t="s">
        <v>412</v>
      </c>
      <c r="D1" s="13">
        <f>L51-(L38+L39-L43-L44-L199)-L47</f>
        <v>0</v>
      </c>
      <c r="I1" s="276"/>
      <c r="J1" s="42"/>
      <c r="K1" s="14" t="s">
        <v>46</v>
      </c>
      <c r="L1" s="56"/>
      <c r="S1" s="3">
        <v>100</v>
      </c>
      <c r="T1" s="3">
        <v>1</v>
      </c>
    </row>
    <row r="2" spans="1:28" ht="44.4" x14ac:dyDescent="0.4">
      <c r="C2" s="67" t="str">
        <f>'Unit Data from Audit Worksheet'!D2</f>
        <v>Select Unit Name from Drop Down List</v>
      </c>
      <c r="D2" s="135">
        <v>2024</v>
      </c>
      <c r="E2" s="135">
        <v>2024</v>
      </c>
      <c r="F2" s="12"/>
      <c r="G2" s="63"/>
      <c r="H2" s="12"/>
      <c r="I2" s="276"/>
      <c r="J2" s="37" t="s">
        <v>42</v>
      </c>
      <c r="K2" s="8" t="s">
        <v>41</v>
      </c>
      <c r="L2" s="61" t="s">
        <v>30</v>
      </c>
      <c r="S2" s="3">
        <v>200</v>
      </c>
      <c r="T2" s="3">
        <v>2</v>
      </c>
      <c r="X2" s="309" t="s">
        <v>876</v>
      </c>
      <c r="Y2" s="309" t="s">
        <v>875</v>
      </c>
    </row>
    <row r="3" spans="1:28" ht="31.2" x14ac:dyDescent="0.3">
      <c r="A3" s="278" t="s">
        <v>42</v>
      </c>
      <c r="B3" s="279"/>
      <c r="C3" s="40" t="s">
        <v>1</v>
      </c>
      <c r="D3" s="15" t="s">
        <v>43</v>
      </c>
      <c r="E3" s="15" t="s">
        <v>44</v>
      </c>
      <c r="F3" s="16" t="s">
        <v>48</v>
      </c>
      <c r="G3" s="68" t="s">
        <v>310</v>
      </c>
      <c r="H3" s="16" t="s">
        <v>345</v>
      </c>
      <c r="I3" s="276"/>
      <c r="J3" s="280"/>
      <c r="K3" s="136"/>
      <c r="L3" s="281"/>
      <c r="O3" s="3" t="s">
        <v>281</v>
      </c>
      <c r="Q3" s="79" t="s">
        <v>311</v>
      </c>
      <c r="S3" s="3">
        <v>300</v>
      </c>
      <c r="T3" s="3">
        <v>3</v>
      </c>
      <c r="Y3" s="3" t="s">
        <v>650</v>
      </c>
    </row>
    <row r="4" spans="1:28" ht="25.95" customHeight="1" x14ac:dyDescent="0.35">
      <c r="A4" s="282"/>
      <c r="B4" s="283"/>
      <c r="C4" s="44"/>
      <c r="D4" s="7"/>
      <c r="E4" s="7"/>
      <c r="F4" s="7"/>
      <c r="G4" s="64"/>
      <c r="H4" s="7"/>
      <c r="I4" s="276"/>
      <c r="J4" s="39">
        <v>999</v>
      </c>
      <c r="K4" s="11" t="s">
        <v>278</v>
      </c>
      <c r="L4" s="715" t="e">
        <f>'Unit Data from Audit Worksheet'!D3</f>
        <v>#N/A</v>
      </c>
      <c r="S4" s="3">
        <v>400</v>
      </c>
      <c r="T4" s="3">
        <v>4</v>
      </c>
      <c r="X4" s="284"/>
      <c r="Y4" s="284"/>
    </row>
    <row r="5" spans="1:28" ht="57" customHeight="1" x14ac:dyDescent="0.3">
      <c r="A5" s="285">
        <f>'Unit Data from Audit Worksheet'!A9</f>
        <v>333</v>
      </c>
      <c r="B5" s="48" t="str">
        <f>'Unit Data from Audit Worksheet'!C9</f>
        <v>Net Position-Governmental Activities</v>
      </c>
      <c r="C5" s="286" t="str">
        <f>'Unit Data from Audit Worksheet'!D9</f>
        <v xml:space="preserve"> All unrestricted Cash and investments.  
Exclude: restricted cash 
                   cash held by a third party. </v>
      </c>
      <c r="D5" s="134"/>
      <c r="E5" s="142">
        <f>'Unit Data from Audit Worksheet'!F9</f>
        <v>0</v>
      </c>
      <c r="F5" s="222">
        <f>IF(L5&lt;0,"Error: Number is normally positive.",)</f>
        <v>0</v>
      </c>
      <c r="G5" s="65"/>
      <c r="H5" s="221"/>
      <c r="I5" s="32"/>
      <c r="J5" s="36">
        <v>333</v>
      </c>
      <c r="K5" s="45" t="s">
        <v>176</v>
      </c>
      <c r="L5" s="287">
        <f>IF(D5="",E5,D5)</f>
        <v>0</v>
      </c>
      <c r="P5" s="193"/>
      <c r="X5" s="549">
        <v>333</v>
      </c>
      <c r="Y5" s="284">
        <v>333</v>
      </c>
      <c r="AA5" s="3">
        <f>A5-J5</f>
        <v>0</v>
      </c>
      <c r="AB5" s="284">
        <f>E5-L5</f>
        <v>0</v>
      </c>
    </row>
    <row r="6" spans="1:28" ht="39.75" customHeight="1" x14ac:dyDescent="0.3">
      <c r="A6" s="210">
        <f>'Unit Data from Audit Worksheet'!A10</f>
        <v>500</v>
      </c>
      <c r="B6" s="223" t="str">
        <f>'Unit Data from Audit Worksheet'!C10</f>
        <v>Net Position-Governmental Activities</v>
      </c>
      <c r="C6" s="209" t="str">
        <f>'Unit Data from Audit Worksheet'!D10</f>
        <v xml:space="preserve"> All restricted Cash and investments</v>
      </c>
      <c r="D6" s="134"/>
      <c r="E6" s="229">
        <f>'Unit Data from Audit Worksheet'!F10</f>
        <v>0</v>
      </c>
      <c r="F6" s="222">
        <f>IF(L6&lt;0,"Error: Number is normally positive.",)</f>
        <v>0</v>
      </c>
      <c r="G6" s="224"/>
      <c r="H6" s="221"/>
      <c r="I6" s="32"/>
      <c r="J6" s="220">
        <v>500</v>
      </c>
      <c r="K6" s="219" t="s">
        <v>175</v>
      </c>
      <c r="L6" s="287">
        <f>IF(D6="",E6,D6)</f>
        <v>0</v>
      </c>
      <c r="P6" s="194"/>
      <c r="X6" s="549">
        <v>500</v>
      </c>
      <c r="Y6" s="284">
        <v>500</v>
      </c>
      <c r="AA6" s="384">
        <f t="shared" ref="AA6:AA71" si="0">A6-J6</f>
        <v>0</v>
      </c>
      <c r="AB6" s="284">
        <f t="shared" ref="AB6:AB71" si="1">E6-L6</f>
        <v>0</v>
      </c>
    </row>
    <row r="7" spans="1:28" ht="43.5" customHeight="1" x14ac:dyDescent="0.3">
      <c r="A7" s="210">
        <f>'Unit Data from Audit Worksheet'!A11</f>
        <v>385</v>
      </c>
      <c r="B7" s="223" t="str">
        <f>'Unit Data from Audit Worksheet'!C11</f>
        <v>Net Position-Governmental Activities</v>
      </c>
      <c r="C7" s="209" t="str">
        <f>'Unit Data from Audit Worksheet'!D11</f>
        <v>Total Assets and deferred outflows</v>
      </c>
      <c r="D7" s="134"/>
      <c r="E7" s="229">
        <f>'Unit Data from Audit Worksheet'!F11</f>
        <v>0</v>
      </c>
      <c r="F7" s="126">
        <f>IF((L5+L6)&gt;L7,"Error: Please review accts (333 + 500) &gt; 385",)</f>
        <v>0</v>
      </c>
      <c r="G7" s="224" t="str">
        <f>IF(Q7=1," Included in error count"," ")</f>
        <v xml:space="preserve"> </v>
      </c>
      <c r="H7" s="221"/>
      <c r="I7" s="32"/>
      <c r="J7" s="69">
        <v>385</v>
      </c>
      <c r="K7" s="70" t="s">
        <v>107</v>
      </c>
      <c r="L7" s="288">
        <f>IF(D7="",E7,D7)+IF(D9="",E9,D9)</f>
        <v>0</v>
      </c>
      <c r="N7" s="71" t="s">
        <v>297</v>
      </c>
      <c r="P7" s="194"/>
      <c r="X7" s="549">
        <v>385</v>
      </c>
      <c r="Y7" s="284">
        <v>385</v>
      </c>
      <c r="AA7" s="384">
        <f t="shared" si="0"/>
        <v>0</v>
      </c>
      <c r="AB7" s="284">
        <f t="shared" si="1"/>
        <v>0</v>
      </c>
    </row>
    <row r="8" spans="1:28" ht="90.75" customHeight="1" x14ac:dyDescent="0.3">
      <c r="A8" s="210">
        <f>'Unit Data from Audit Worksheet'!A12</f>
        <v>575</v>
      </c>
      <c r="B8" s="223" t="str">
        <f>'Unit Data from Audit Worksheet'!C12</f>
        <v>Net Position-Governmental Activities</v>
      </c>
      <c r="C8" s="209" t="str">
        <f>'Unit Data from Audit Worksheet'!D12</f>
        <v>Record any positive Internal balances on the net position statements that appear in the Asset Section of the Net Position Statement</v>
      </c>
      <c r="D8" s="134"/>
      <c r="E8" s="229">
        <f>'Unit Data from Audit Worksheet'!F12</f>
        <v>0</v>
      </c>
      <c r="F8" s="222">
        <f>IF(L8&lt;0,"Error: Number is normally positive.",)</f>
        <v>0</v>
      </c>
      <c r="G8" s="224"/>
      <c r="H8" s="221"/>
      <c r="I8" s="32"/>
      <c r="J8" s="220">
        <v>575</v>
      </c>
      <c r="K8" s="226" t="s">
        <v>300</v>
      </c>
      <c r="L8" s="287">
        <f>IF(D8="",E8,D8)</f>
        <v>0</v>
      </c>
      <c r="N8" s="57"/>
      <c r="P8" s="194"/>
      <c r="X8" s="549">
        <v>575</v>
      </c>
      <c r="Y8" s="284">
        <v>575</v>
      </c>
      <c r="AA8" s="384">
        <f t="shared" si="0"/>
        <v>0</v>
      </c>
      <c r="AB8" s="284">
        <f t="shared" si="1"/>
        <v>0</v>
      </c>
    </row>
    <row r="9" spans="1:28" ht="103.5" customHeight="1" x14ac:dyDescent="0.3">
      <c r="A9" s="210">
        <f>'Unit Data from Audit Worksheet'!A13</f>
        <v>576</v>
      </c>
      <c r="B9" s="223" t="str">
        <f>'Unit Data from Audit Worksheet'!C13</f>
        <v>Net Position-Governmental Activities</v>
      </c>
      <c r="C9" s="289" t="str">
        <f>'Unit Data from Audit Worksheet'!D13</f>
        <v>Record any negative Internal balances on the net position statements that appear in the Asset Section of the Net Position Statement.
Enter as a positive</v>
      </c>
      <c r="D9" s="102"/>
      <c r="E9" s="145">
        <f>'Unit Data from Audit Worksheet'!F13</f>
        <v>0</v>
      </c>
      <c r="F9" s="218">
        <f>IF(E9&lt;0,"Error: Enter as positive.",)</f>
        <v>0</v>
      </c>
      <c r="G9" s="104"/>
      <c r="H9" s="105"/>
      <c r="I9" s="32"/>
      <c r="J9" s="97">
        <v>576</v>
      </c>
      <c r="K9" s="226" t="s">
        <v>301</v>
      </c>
      <c r="L9" s="287">
        <f>IF(D9="",E9,D9)</f>
        <v>0</v>
      </c>
      <c r="N9" s="57"/>
      <c r="P9" s="195"/>
      <c r="X9" s="549">
        <v>576</v>
      </c>
      <c r="Y9" s="284">
        <v>576</v>
      </c>
      <c r="AA9" s="384">
        <f t="shared" si="0"/>
        <v>0</v>
      </c>
      <c r="AB9" s="284">
        <f t="shared" si="1"/>
        <v>0</v>
      </c>
    </row>
    <row r="10" spans="1:28" s="18" customFormat="1" ht="100.5" customHeight="1" x14ac:dyDescent="0.3">
      <c r="A10" s="210">
        <f>'Unit Data from Audit Worksheet'!A14</f>
        <v>626</v>
      </c>
      <c r="B10" s="215" t="str">
        <f>'Unit Data from Audit Worksheet'!C14</f>
        <v>Net Position-Governmental Activities</v>
      </c>
      <c r="C10" s="214" t="str">
        <f>'Unit Data from Audit Worksheet'!D14</f>
        <v xml:space="preserve">Total Current liabilities (as reported on Statement of Net Position)
Include:   Current liabilities including current portion of long-term debt.  Deferred inflows should not be included in Current Liabilities  </v>
      </c>
      <c r="D10" s="102"/>
      <c r="E10" s="659">
        <f>'Unit Data from Audit Worksheet'!F14</f>
        <v>0</v>
      </c>
      <c r="F10"/>
      <c r="G10"/>
      <c r="H10"/>
      <c r="I10" s="32"/>
      <c r="J10" s="638">
        <v>626</v>
      </c>
      <c r="K10" s="639" t="s">
        <v>370</v>
      </c>
      <c r="L10" s="640">
        <f>IF(D10="",E10,D10)+IF(D9="",E9,D9)</f>
        <v>0</v>
      </c>
      <c r="M10"/>
      <c r="N10" s="167" t="s">
        <v>297</v>
      </c>
      <c r="O10" s="290"/>
      <c r="P10" s="196"/>
      <c r="Q10" s="291"/>
      <c r="R10" s="3"/>
      <c r="X10" s="549">
        <v>626</v>
      </c>
      <c r="Y10" s="292">
        <v>626</v>
      </c>
      <c r="AA10" s="384">
        <f t="shared" si="0"/>
        <v>0</v>
      </c>
      <c r="AB10" s="284">
        <f t="shared" si="1"/>
        <v>0</v>
      </c>
    </row>
    <row r="11" spans="1:28" s="18" customFormat="1" ht="86.25" customHeight="1" x14ac:dyDescent="0.3">
      <c r="A11" s="210">
        <f>'Unit Data from Audit Worksheet'!A15</f>
        <v>627</v>
      </c>
      <c r="B11" s="215" t="str">
        <f>'Unit Data from Audit Worksheet'!C15</f>
        <v>Net Position-Governmental Activities</v>
      </c>
      <c r="C11" s="214" t="str">
        <f>'Unit Data from Audit Worksheet'!D15</f>
        <v>Please enter any bond anticipation notes that are classified as current liabilities and included in account 626 above (amounts entered should agree to the current amount included in the changes to long-term debt note)</v>
      </c>
      <c r="D11" s="102"/>
      <c r="E11" s="232">
        <f>'Unit Data from Audit Worksheet'!F15</f>
        <v>0</v>
      </c>
      <c r="F11" s="658"/>
      <c r="G11" s="657"/>
      <c r="H11" s="658"/>
      <c r="I11" s="32"/>
      <c r="J11" s="216">
        <v>627</v>
      </c>
      <c r="K11" s="191" t="s">
        <v>362</v>
      </c>
      <c r="L11" s="293">
        <f t="shared" ref="L11:L16" si="2">IF(D11="",E11,D11)</f>
        <v>0</v>
      </c>
      <c r="M11"/>
      <c r="N11" s="166"/>
      <c r="O11" s="290"/>
      <c r="P11" s="196"/>
      <c r="Q11" s="291"/>
      <c r="R11" s="3"/>
      <c r="X11" s="549">
        <v>627</v>
      </c>
      <c r="Y11" s="292">
        <v>627</v>
      </c>
      <c r="AA11" s="384">
        <f t="shared" si="0"/>
        <v>0</v>
      </c>
      <c r="AB11" s="284">
        <f t="shared" si="1"/>
        <v>0</v>
      </c>
    </row>
    <row r="12" spans="1:28" s="18" customFormat="1" ht="86.25" customHeight="1" x14ac:dyDescent="0.3">
      <c r="A12" s="210">
        <f>'Unit Data from Audit Worksheet'!A16</f>
        <v>628</v>
      </c>
      <c r="B12" s="215" t="str">
        <f>'Unit Data from Audit Worksheet'!C16</f>
        <v>Net Position-Governmental Activities</v>
      </c>
      <c r="C12" s="214" t="str">
        <f>'Unit Data from Audit Worksheet'!D16</f>
        <v>Please enter any compensated absences that are classified as current liabilities and included in account 626 above (amounts entered should agree to the current amount included in the changes to long-term debt note)</v>
      </c>
      <c r="D12" s="102"/>
      <c r="E12" s="232">
        <f>'Unit Data from Audit Worksheet'!F16</f>
        <v>0</v>
      </c>
      <c r="F12" s="217"/>
      <c r="G12" s="205"/>
      <c r="H12" s="217"/>
      <c r="I12" s="32"/>
      <c r="J12" s="216">
        <v>628</v>
      </c>
      <c r="K12" s="191" t="s">
        <v>367</v>
      </c>
      <c r="L12" s="293">
        <f t="shared" si="2"/>
        <v>0</v>
      </c>
      <c r="M12"/>
      <c r="N12" s="166"/>
      <c r="O12" s="290"/>
      <c r="P12" s="196"/>
      <c r="Q12" s="291"/>
      <c r="R12" s="3"/>
      <c r="X12" s="549">
        <v>628</v>
      </c>
      <c r="Y12" s="292">
        <v>628</v>
      </c>
      <c r="AA12" s="384">
        <f t="shared" si="0"/>
        <v>0</v>
      </c>
      <c r="AB12" s="284">
        <f t="shared" si="1"/>
        <v>0</v>
      </c>
    </row>
    <row r="13" spans="1:28" s="18" customFormat="1" ht="93" customHeight="1" x14ac:dyDescent="0.3">
      <c r="A13" s="210">
        <f>'Unit Data from Audit Worksheet'!A17</f>
        <v>629</v>
      </c>
      <c r="B13" s="215" t="str">
        <f>'Unit Data from Audit Worksheet'!C17</f>
        <v>Net Position-Governmental Activities</v>
      </c>
      <c r="C13" s="214" t="str">
        <f>'Unit Data from Audit Worksheet'!D17</f>
        <v>Please enter any pension liabilities that are classified as current liabilities and included in account 626 above (amounts entered should agree to the current amount included in the changes to long-term debt note)</v>
      </c>
      <c r="D13" s="102"/>
      <c r="E13" s="232">
        <f>'Unit Data from Audit Worksheet'!F17</f>
        <v>0</v>
      </c>
      <c r="F13" s="217"/>
      <c r="G13" s="205"/>
      <c r="H13" s="217"/>
      <c r="I13" s="32"/>
      <c r="J13" s="216">
        <v>629</v>
      </c>
      <c r="K13" s="191" t="s">
        <v>366</v>
      </c>
      <c r="L13" s="293">
        <f t="shared" si="2"/>
        <v>0</v>
      </c>
      <c r="M13"/>
      <c r="N13" s="166"/>
      <c r="O13" s="290"/>
      <c r="P13" s="196"/>
      <c r="Q13" s="291"/>
      <c r="R13" s="3"/>
      <c r="X13" s="549">
        <v>629</v>
      </c>
      <c r="Y13" s="292">
        <v>629</v>
      </c>
      <c r="AA13" s="384">
        <f t="shared" si="0"/>
        <v>0</v>
      </c>
      <c r="AB13" s="284">
        <f t="shared" si="1"/>
        <v>0</v>
      </c>
    </row>
    <row r="14" spans="1:28" s="18" customFormat="1" ht="67.5" customHeight="1" x14ac:dyDescent="0.3">
      <c r="A14" s="210">
        <f>'Unit Data from Audit Worksheet'!A18</f>
        <v>630</v>
      </c>
      <c r="B14" s="215" t="str">
        <f>'Unit Data from Audit Worksheet'!C18</f>
        <v>Net Position-Governmental Activities</v>
      </c>
      <c r="C14" s="214" t="str">
        <f>'Unit Data from Audit Worksheet'!D18</f>
        <v>Please enter any current liabilities that are payable from restricted assets and included in account 626 above</v>
      </c>
      <c r="D14" s="102"/>
      <c r="E14" s="232">
        <f>'Unit Data from Audit Worksheet'!F18</f>
        <v>0</v>
      </c>
      <c r="F14" s="217"/>
      <c r="G14" s="205"/>
      <c r="H14" s="217"/>
      <c r="I14" s="32"/>
      <c r="J14" s="216">
        <v>630</v>
      </c>
      <c r="K14" s="191" t="s">
        <v>365</v>
      </c>
      <c r="L14" s="293">
        <f t="shared" si="2"/>
        <v>0</v>
      </c>
      <c r="M14"/>
      <c r="N14" s="166"/>
      <c r="O14" s="290"/>
      <c r="P14" s="196"/>
      <c r="Q14" s="291"/>
      <c r="R14" s="3"/>
      <c r="X14" s="549">
        <v>630</v>
      </c>
      <c r="Y14" s="292">
        <v>630</v>
      </c>
      <c r="AA14" s="384">
        <f t="shared" si="0"/>
        <v>0</v>
      </c>
      <c r="AB14" s="284">
        <f t="shared" si="1"/>
        <v>0</v>
      </c>
    </row>
    <row r="15" spans="1:28" s="18" customFormat="1" ht="102.75" customHeight="1" x14ac:dyDescent="0.3">
      <c r="A15" s="210">
        <f>'Unit Data from Audit Worksheet'!A19</f>
        <v>631</v>
      </c>
      <c r="B15" s="223" t="str">
        <f>'Unit Data from Audit Worksheet'!C19</f>
        <v>Net Position-Governmental Activities</v>
      </c>
      <c r="C15" s="206" t="str">
        <f>'Unit Data from Audit Worksheet'!D19</f>
        <v>Please enter any OPEB liabilities that are classified as current liabilities and included in account 626 above (amounts entered should agree to the current amount included in the changes to long-term debt note)</v>
      </c>
      <c r="D15" s="102"/>
      <c r="E15" s="232">
        <f>'Unit Data from Audit Worksheet'!F19</f>
        <v>0</v>
      </c>
      <c r="F15" s="217"/>
      <c r="G15" s="205"/>
      <c r="H15" s="217"/>
      <c r="I15" s="32"/>
      <c r="J15" s="216">
        <v>631</v>
      </c>
      <c r="K15" s="191" t="s">
        <v>364</v>
      </c>
      <c r="L15" s="293">
        <f t="shared" si="2"/>
        <v>0</v>
      </c>
      <c r="M15"/>
      <c r="N15" s="166"/>
      <c r="O15" s="290"/>
      <c r="P15" s="196"/>
      <c r="Q15" s="291"/>
      <c r="R15" s="3"/>
      <c r="X15" s="549">
        <v>631</v>
      </c>
      <c r="Y15" s="292">
        <v>631</v>
      </c>
      <c r="AA15" s="384">
        <f t="shared" si="0"/>
        <v>0</v>
      </c>
      <c r="AB15" s="284">
        <f t="shared" si="1"/>
        <v>0</v>
      </c>
    </row>
    <row r="16" spans="1:28" s="18" customFormat="1" ht="119.25" customHeight="1" x14ac:dyDescent="0.3">
      <c r="A16" s="210">
        <f>'Unit Data from Audit Worksheet'!A20</f>
        <v>632</v>
      </c>
      <c r="B16" s="223" t="str">
        <f>'Unit Data from Audit Worksheet'!C20</f>
        <v>Net Position-Governmental Activities</v>
      </c>
      <c r="C16" s="206" t="str">
        <f>'Unit Data from Audit Worksheet'!D20</f>
        <v>Please enter any landfill closure/postclosure liabilities that are classified as current liabilities and included in account 626 above (amounts entered should agree to the current amount included in the changes to long-term debt note)</v>
      </c>
      <c r="D16" s="102"/>
      <c r="E16" s="232">
        <f>'Unit Data from Audit Worksheet'!F20</f>
        <v>0</v>
      </c>
      <c r="F16" s="217"/>
      <c r="G16" s="205"/>
      <c r="H16" s="217"/>
      <c r="I16" s="32"/>
      <c r="J16" s="216">
        <v>632</v>
      </c>
      <c r="K16" s="191" t="s">
        <v>363</v>
      </c>
      <c r="L16" s="293">
        <f t="shared" si="2"/>
        <v>0</v>
      </c>
      <c r="M16"/>
      <c r="N16" s="166"/>
      <c r="O16" s="290"/>
      <c r="P16" s="196"/>
      <c r="Q16" s="291"/>
      <c r="R16" s="3"/>
      <c r="X16" s="549">
        <v>632</v>
      </c>
      <c r="Y16" s="292">
        <v>632</v>
      </c>
      <c r="AA16" s="384">
        <f t="shared" si="0"/>
        <v>0</v>
      </c>
      <c r="AB16" s="284">
        <f t="shared" si="1"/>
        <v>0</v>
      </c>
    </row>
    <row r="17" spans="1:28" ht="30.6" x14ac:dyDescent="0.3">
      <c r="A17" s="548">
        <f>'Unit Data from Audit Worksheet'!A21</f>
        <v>338</v>
      </c>
      <c r="B17" s="223" t="str">
        <f>'Unit Data from Audit Worksheet'!C21</f>
        <v>Net Position-Governmental Activities</v>
      </c>
      <c r="C17" s="209" t="str">
        <f>'Unit Data from Audit Worksheet'!D21</f>
        <v>Total Liabilities and total deferred inflows</v>
      </c>
      <c r="D17" s="102"/>
      <c r="E17" s="142">
        <f>'Unit Data from Audit Worksheet'!F21</f>
        <v>0</v>
      </c>
      <c r="F17" s="126" t="str">
        <f>IF(L10&gt;L17,"Please review accounts 626 greater than 338","")</f>
        <v/>
      </c>
      <c r="G17" s="65"/>
      <c r="H17" s="221"/>
      <c r="I17" s="32"/>
      <c r="J17" s="106">
        <v>338</v>
      </c>
      <c r="K17" s="107" t="s">
        <v>108</v>
      </c>
      <c r="L17" s="288">
        <f>IF(D17="",E17,D17)+IF(D9="",E9,D9)</f>
        <v>0</v>
      </c>
      <c r="N17" s="71" t="s">
        <v>297</v>
      </c>
      <c r="P17" s="193"/>
      <c r="X17" s="549">
        <v>338</v>
      </c>
      <c r="Y17" s="284">
        <v>338</v>
      </c>
      <c r="AA17" s="384">
        <f t="shared" si="0"/>
        <v>0</v>
      </c>
      <c r="AB17" s="284">
        <f t="shared" si="1"/>
        <v>0</v>
      </c>
    </row>
    <row r="18" spans="1:28" ht="100.5" customHeight="1" x14ac:dyDescent="0.3">
      <c r="A18" s="210">
        <f>'Unit Data from Audit Worksheet'!A22</f>
        <v>335</v>
      </c>
      <c r="B18" s="223" t="str">
        <f>'Unit Data from Audit Worksheet'!C22</f>
        <v>Net Position-Governmental Activities</v>
      </c>
      <c r="C18" s="209" t="str">
        <f>'Unit Data from Audit Worksheet'!D22</f>
        <v>Unearned revenues that were included in current liabilities in your audit report or entered in acct # 626 above. 
Exclude - unearned revenues that are listed in deferred inflows.</v>
      </c>
      <c r="D18" s="102"/>
      <c r="E18" s="229">
        <f>'Unit Data from Audit Worksheet'!F22</f>
        <v>0</v>
      </c>
      <c r="F18" s="222">
        <f>IF(L18&lt;0,"Error: Enter as a positive.",)</f>
        <v>0</v>
      </c>
      <c r="G18" s="224"/>
      <c r="H18" s="221"/>
      <c r="I18" s="32"/>
      <c r="J18" s="220">
        <v>335</v>
      </c>
      <c r="K18" s="219" t="s">
        <v>109</v>
      </c>
      <c r="L18" s="287">
        <f>IF(D18="",E18,D18)</f>
        <v>0</v>
      </c>
      <c r="P18" s="194"/>
      <c r="X18" s="549">
        <v>335</v>
      </c>
      <c r="Y18" s="284">
        <v>335</v>
      </c>
      <c r="AA18" s="384">
        <f t="shared" si="0"/>
        <v>0</v>
      </c>
      <c r="AB18" s="284">
        <f t="shared" si="1"/>
        <v>0</v>
      </c>
    </row>
    <row r="19" spans="1:28" ht="20.399999999999999" x14ac:dyDescent="0.3">
      <c r="A19" s="210">
        <f>'Unit Data from Audit Worksheet'!A23</f>
        <v>252</v>
      </c>
      <c r="B19" s="223" t="str">
        <f>'Unit Data from Audit Worksheet'!C23</f>
        <v>Net Position-Governmental Activities</v>
      </c>
      <c r="C19" s="209" t="str">
        <f>'Unit Data from Audit Worksheet'!D23</f>
        <v xml:space="preserve"> Total Net investment in capital assets</v>
      </c>
      <c r="D19" s="102"/>
      <c r="E19" s="229">
        <f>'Unit Data from Audit Worksheet'!F23</f>
        <v>0</v>
      </c>
      <c r="F19" s="222"/>
      <c r="G19" s="224"/>
      <c r="H19" s="221"/>
      <c r="I19" s="32"/>
      <c r="J19" s="220">
        <v>252</v>
      </c>
      <c r="K19" s="219" t="s">
        <v>95</v>
      </c>
      <c r="L19" s="287">
        <f t="shared" ref="L19:L37" si="3">IF(D19="",E19,D19)</f>
        <v>0</v>
      </c>
      <c r="O19" s="294" t="e">
        <f>'Unit Data from Audit Worksheet'!E23</f>
        <v>#N/A</v>
      </c>
      <c r="P19" s="194"/>
      <c r="X19" s="549">
        <v>252</v>
      </c>
      <c r="Y19" s="284">
        <v>252</v>
      </c>
      <c r="AA19" s="384">
        <f t="shared" si="0"/>
        <v>0</v>
      </c>
      <c r="AB19" s="284">
        <f t="shared" si="1"/>
        <v>0</v>
      </c>
    </row>
    <row r="20" spans="1:28" ht="20.399999999999999" x14ac:dyDescent="0.3">
      <c r="A20" s="210">
        <f>'Unit Data from Audit Worksheet'!A24</f>
        <v>253</v>
      </c>
      <c r="B20" s="223" t="str">
        <f>'Unit Data from Audit Worksheet'!C24</f>
        <v>Net Position-Governmental Activities</v>
      </c>
      <c r="C20" s="209" t="str">
        <f>'Unit Data from Audit Worksheet'!D24</f>
        <v xml:space="preserve"> Total Net Position, Restricted</v>
      </c>
      <c r="D20" s="102"/>
      <c r="E20" s="229">
        <f>'Unit Data from Audit Worksheet'!F24</f>
        <v>0</v>
      </c>
      <c r="F20" s="222"/>
      <c r="G20" s="224"/>
      <c r="H20" s="221"/>
      <c r="I20" s="32"/>
      <c r="J20" s="220">
        <v>253</v>
      </c>
      <c r="K20" s="219" t="s">
        <v>96</v>
      </c>
      <c r="L20" s="287">
        <f t="shared" si="3"/>
        <v>0</v>
      </c>
      <c r="O20" s="294" t="e">
        <f>'Unit Data from Audit Worksheet'!E24</f>
        <v>#N/A</v>
      </c>
      <c r="P20" s="194"/>
      <c r="X20" s="549">
        <v>253</v>
      </c>
      <c r="Y20" s="284">
        <v>253</v>
      </c>
      <c r="AA20" s="384">
        <f t="shared" si="0"/>
        <v>0</v>
      </c>
      <c r="AB20" s="284">
        <f t="shared" si="1"/>
        <v>0</v>
      </c>
    </row>
    <row r="21" spans="1:28" ht="73.5" customHeight="1" x14ac:dyDescent="0.3">
      <c r="A21" s="210">
        <f>'Unit Data from Audit Worksheet'!A25</f>
        <v>254</v>
      </c>
      <c r="B21" s="223" t="str">
        <f>'Unit Data from Audit Worksheet'!C25</f>
        <v>Net Position-Governmental Activities</v>
      </c>
      <c r="C21" s="209" t="str">
        <f>'Unit Data from Audit Worksheet'!D25</f>
        <v>Total Net Position, Unrestricted - enter negative unrestricted net position as a negative)</v>
      </c>
      <c r="D21" s="102"/>
      <c r="E21" s="229">
        <f>'Unit Data from Audit Worksheet'!F25</f>
        <v>0</v>
      </c>
      <c r="F21" s="222">
        <f>IF((L7-L17-L19-L20-L21)=0,,"Error: Total assets and deferred outflows less total liabilities and deferred inflows do not equal total net position accts 385-338-252-253-254")</f>
        <v>0</v>
      </c>
      <c r="G21" s="83">
        <f>+L7-L17-L19-L20-L21</f>
        <v>0</v>
      </c>
      <c r="H21" s="221"/>
      <c r="I21" s="32"/>
      <c r="J21" s="220">
        <v>254</v>
      </c>
      <c r="K21" s="219" t="s">
        <v>97</v>
      </c>
      <c r="L21" s="287">
        <f t="shared" si="3"/>
        <v>0</v>
      </c>
      <c r="O21" s="294" t="e">
        <f>'Unit Data from Audit Worksheet'!E25</f>
        <v>#N/A</v>
      </c>
      <c r="P21" s="194"/>
      <c r="X21" s="549">
        <v>254</v>
      </c>
      <c r="Y21" s="284">
        <v>254</v>
      </c>
      <c r="AA21" s="384">
        <f t="shared" si="0"/>
        <v>0</v>
      </c>
      <c r="AB21" s="284">
        <f t="shared" si="1"/>
        <v>0</v>
      </c>
    </row>
    <row r="22" spans="1:28" ht="51.75" customHeight="1" x14ac:dyDescent="0.3">
      <c r="A22" s="210">
        <f>'Unit Data from Audit Worksheet'!A27</f>
        <v>502</v>
      </c>
      <c r="B22" s="223" t="str">
        <f>'Unit Data from Audit Worksheet'!C27</f>
        <v>Net Position-Business Activities</v>
      </c>
      <c r="C22" s="209" t="str">
        <f>'Unit Data from Audit Worksheet'!D27</f>
        <v xml:space="preserve">All unrestricted Cash and investments. 
Exclude restricted cash and cash held by a third party. </v>
      </c>
      <c r="D22" s="102"/>
      <c r="E22" s="229">
        <f>'Unit Data from Audit Worksheet'!F27</f>
        <v>0</v>
      </c>
      <c r="F22" s="222">
        <f>IF(L22&lt;0,"Error: Number is normally positive.",)</f>
        <v>0</v>
      </c>
      <c r="G22" s="224"/>
      <c r="H22" s="221"/>
      <c r="I22" s="32"/>
      <c r="J22" s="220">
        <v>502</v>
      </c>
      <c r="K22" s="219" t="s">
        <v>177</v>
      </c>
      <c r="L22" s="287">
        <f t="shared" si="3"/>
        <v>0</v>
      </c>
      <c r="P22" s="194"/>
      <c r="X22" s="549">
        <v>502</v>
      </c>
      <c r="Y22" s="284">
        <v>502</v>
      </c>
      <c r="AA22" s="384">
        <f t="shared" si="0"/>
        <v>0</v>
      </c>
      <c r="AB22" s="284">
        <f t="shared" si="1"/>
        <v>0</v>
      </c>
    </row>
    <row r="23" spans="1:28" ht="40.5" customHeight="1" x14ac:dyDescent="0.3">
      <c r="A23" s="210">
        <f>'Unit Data from Audit Worksheet'!A28</f>
        <v>503</v>
      </c>
      <c r="B23" s="223" t="str">
        <f>'Unit Data from Audit Worksheet'!C28</f>
        <v>Net Position-Business Activities</v>
      </c>
      <c r="C23" s="209" t="str">
        <f>'Unit Data from Audit Worksheet'!D28</f>
        <v>All restricted Cash and investments</v>
      </c>
      <c r="D23" s="102"/>
      <c r="E23" s="229">
        <f>'Unit Data from Audit Worksheet'!F28</f>
        <v>0</v>
      </c>
      <c r="F23" s="222">
        <f>IF(L23&lt;0,"Error: Number is normally positive.",)</f>
        <v>0</v>
      </c>
      <c r="G23" s="224"/>
      <c r="H23" s="221"/>
      <c r="I23" s="32"/>
      <c r="J23" s="220">
        <v>503</v>
      </c>
      <c r="K23" s="219" t="s">
        <v>178</v>
      </c>
      <c r="L23" s="287">
        <f t="shared" si="3"/>
        <v>0</v>
      </c>
      <c r="P23" s="194"/>
      <c r="X23" s="549">
        <v>503</v>
      </c>
      <c r="Y23" s="284">
        <v>503</v>
      </c>
      <c r="AA23" s="384">
        <f t="shared" si="0"/>
        <v>0</v>
      </c>
      <c r="AB23" s="284">
        <f t="shared" si="1"/>
        <v>0</v>
      </c>
    </row>
    <row r="24" spans="1:28" ht="39" customHeight="1" x14ac:dyDescent="0.3">
      <c r="A24" s="210">
        <f>'Unit Data from Audit Worksheet'!A30</f>
        <v>344</v>
      </c>
      <c r="B24" s="223" t="str">
        <f>'Unit Data from Audit Worksheet'!C30</f>
        <v>Statement of Activities - Governmental</v>
      </c>
      <c r="C24" s="209" t="str">
        <f>'Unit Data from Audit Worksheet'!D30</f>
        <v xml:space="preserve">Total Interest expense on Long-Term Debt </v>
      </c>
      <c r="D24" s="102"/>
      <c r="E24" s="229">
        <f>'Unit Data from Audit Worksheet'!F30</f>
        <v>0</v>
      </c>
      <c r="F24" s="222">
        <f>IF(L24&lt;0,"Error: Enter as a positive.",)</f>
        <v>0</v>
      </c>
      <c r="G24" s="224"/>
      <c r="H24" s="221"/>
      <c r="I24" s="32"/>
      <c r="J24" s="220">
        <v>344</v>
      </c>
      <c r="K24" s="219" t="s">
        <v>179</v>
      </c>
      <c r="L24" s="287">
        <f t="shared" si="3"/>
        <v>0</v>
      </c>
      <c r="P24" s="194"/>
      <c r="X24" s="549">
        <v>344</v>
      </c>
      <c r="Y24" s="284">
        <v>344</v>
      </c>
      <c r="AA24" s="384">
        <f t="shared" si="0"/>
        <v>0</v>
      </c>
      <c r="AB24" s="284">
        <f t="shared" si="1"/>
        <v>0</v>
      </c>
    </row>
    <row r="25" spans="1:28" ht="39" customHeight="1" x14ac:dyDescent="0.3">
      <c r="A25" s="210">
        <f>'Unit Data from Audit Worksheet'!A31</f>
        <v>388</v>
      </c>
      <c r="B25" s="223" t="str">
        <f>'Unit Data from Audit Worksheet'!C31</f>
        <v>Statement of Activities - Governmental</v>
      </c>
      <c r="C25" s="209" t="str">
        <f>'Unit Data from Audit Worksheet'!D31</f>
        <v>Total Expenses</v>
      </c>
      <c r="D25" s="102"/>
      <c r="E25" s="229">
        <f>'Unit Data from Audit Worksheet'!F31</f>
        <v>0</v>
      </c>
      <c r="F25" s="222">
        <f t="shared" ref="F25:F30" si="4">IF(L25&lt;0,"Error: Number is normally positive.",)</f>
        <v>0</v>
      </c>
      <c r="G25" s="224"/>
      <c r="H25" s="221"/>
      <c r="I25" s="32"/>
      <c r="J25" s="220">
        <v>388</v>
      </c>
      <c r="K25" s="219" t="s">
        <v>180</v>
      </c>
      <c r="L25" s="287">
        <f t="shared" si="3"/>
        <v>0</v>
      </c>
      <c r="P25" s="194"/>
      <c r="X25" s="549">
        <v>388</v>
      </c>
      <c r="Y25" s="284">
        <v>388</v>
      </c>
      <c r="AA25" s="384">
        <f t="shared" si="0"/>
        <v>0</v>
      </c>
      <c r="AB25" s="284">
        <f t="shared" si="1"/>
        <v>0</v>
      </c>
    </row>
    <row r="26" spans="1:28" ht="39" customHeight="1" x14ac:dyDescent="0.3">
      <c r="A26" s="210">
        <f>'Unit Data from Audit Worksheet'!A32</f>
        <v>339</v>
      </c>
      <c r="B26" s="223" t="str">
        <f>'Unit Data from Audit Worksheet'!C32</f>
        <v>Statement of Activities - Governmental</v>
      </c>
      <c r="C26" s="209" t="str">
        <f>'Unit Data from Audit Worksheet'!D32</f>
        <v xml:space="preserve">Charges for services </v>
      </c>
      <c r="D26" s="102"/>
      <c r="E26" s="229">
        <f>'Unit Data from Audit Worksheet'!F32</f>
        <v>0</v>
      </c>
      <c r="F26" s="222">
        <f t="shared" si="4"/>
        <v>0</v>
      </c>
      <c r="G26" s="224"/>
      <c r="H26" s="221"/>
      <c r="I26" s="32"/>
      <c r="J26" s="220">
        <v>339</v>
      </c>
      <c r="K26" s="219" t="s">
        <v>181</v>
      </c>
      <c r="L26" s="287">
        <f t="shared" si="3"/>
        <v>0</v>
      </c>
      <c r="P26" s="194"/>
      <c r="X26" s="549">
        <v>339</v>
      </c>
      <c r="Y26" s="284">
        <v>339</v>
      </c>
      <c r="AA26" s="384">
        <f t="shared" si="0"/>
        <v>0</v>
      </c>
      <c r="AB26" s="284">
        <f t="shared" si="1"/>
        <v>0</v>
      </c>
    </row>
    <row r="27" spans="1:28" ht="39" customHeight="1" x14ac:dyDescent="0.3">
      <c r="A27" s="210">
        <f>'Unit Data from Audit Worksheet'!A33</f>
        <v>504</v>
      </c>
      <c r="B27" s="223" t="str">
        <f>'Unit Data from Audit Worksheet'!C33</f>
        <v>Statement of Activities - Governmental</v>
      </c>
      <c r="C27" s="209" t="str">
        <f>'Unit Data from Audit Worksheet'!D33</f>
        <v>Operating grants and contributions</v>
      </c>
      <c r="D27" s="102"/>
      <c r="E27" s="229">
        <f>'Unit Data from Audit Worksheet'!F33</f>
        <v>0</v>
      </c>
      <c r="F27" s="222">
        <f t="shared" si="4"/>
        <v>0</v>
      </c>
      <c r="G27" s="224"/>
      <c r="H27" s="221"/>
      <c r="I27" s="32"/>
      <c r="J27" s="220">
        <v>504</v>
      </c>
      <c r="K27" s="219" t="s">
        <v>182</v>
      </c>
      <c r="L27" s="287">
        <f t="shared" si="3"/>
        <v>0</v>
      </c>
      <c r="P27" s="194"/>
      <c r="X27" s="549">
        <v>504</v>
      </c>
      <c r="Y27" s="284">
        <v>504</v>
      </c>
      <c r="AA27" s="384">
        <f t="shared" si="0"/>
        <v>0</v>
      </c>
      <c r="AB27" s="284">
        <f t="shared" si="1"/>
        <v>0</v>
      </c>
    </row>
    <row r="28" spans="1:28" ht="39" customHeight="1" x14ac:dyDescent="0.3">
      <c r="A28" s="210">
        <f>'Unit Data from Audit Worksheet'!A34</f>
        <v>505</v>
      </c>
      <c r="B28" s="223" t="str">
        <f>'Unit Data from Audit Worksheet'!C34</f>
        <v>Statement of Activities - Governmental</v>
      </c>
      <c r="C28" s="209" t="str">
        <f>'Unit Data from Audit Worksheet'!D34</f>
        <v>Capital grants and contributions</v>
      </c>
      <c r="D28" s="102"/>
      <c r="E28" s="229">
        <f>'Unit Data from Audit Worksheet'!F34</f>
        <v>0</v>
      </c>
      <c r="F28" s="222">
        <f t="shared" si="4"/>
        <v>0</v>
      </c>
      <c r="G28" s="224"/>
      <c r="H28" s="221"/>
      <c r="I28" s="32"/>
      <c r="J28" s="220">
        <v>505</v>
      </c>
      <c r="K28" s="219" t="s">
        <v>183</v>
      </c>
      <c r="L28" s="287">
        <f t="shared" si="3"/>
        <v>0</v>
      </c>
      <c r="P28" s="194"/>
      <c r="X28" s="549">
        <v>505</v>
      </c>
      <c r="Y28" s="284">
        <v>505</v>
      </c>
      <c r="AA28" s="384">
        <f t="shared" si="0"/>
        <v>0</v>
      </c>
      <c r="AB28" s="284">
        <f t="shared" si="1"/>
        <v>0</v>
      </c>
    </row>
    <row r="29" spans="1:28" ht="82.5" customHeight="1" x14ac:dyDescent="0.3">
      <c r="A29" s="210">
        <f>'Unit Data from Audit Worksheet'!A35</f>
        <v>341</v>
      </c>
      <c r="B29" s="223" t="str">
        <f>'Unit Data from Audit Worksheet'!C35</f>
        <v>Statement of Activities - Governmental</v>
      </c>
      <c r="C29" s="209" t="str">
        <f>'Unit Data from Audit Worksheet'!D35</f>
        <v>Total General revenues
Exclude: transfers-in or out,
                 special items,
                 extraordinary amounts</v>
      </c>
      <c r="D29" s="102"/>
      <c r="E29" s="229">
        <f>'Unit Data from Audit Worksheet'!F35</f>
        <v>0</v>
      </c>
      <c r="F29" s="222">
        <f t="shared" si="4"/>
        <v>0</v>
      </c>
      <c r="G29" s="224"/>
      <c r="H29" s="221"/>
      <c r="I29" s="32"/>
      <c r="J29" s="220">
        <v>341</v>
      </c>
      <c r="K29" s="219" t="s">
        <v>184</v>
      </c>
      <c r="L29" s="287">
        <f t="shared" si="3"/>
        <v>0</v>
      </c>
      <c r="P29" s="194"/>
      <c r="X29" s="549">
        <v>341</v>
      </c>
      <c r="Y29" s="284">
        <v>341</v>
      </c>
      <c r="AA29" s="384">
        <f t="shared" si="0"/>
        <v>0</v>
      </c>
      <c r="AB29" s="284">
        <f t="shared" si="1"/>
        <v>0</v>
      </c>
    </row>
    <row r="30" spans="1:28" ht="82.5" customHeight="1" x14ac:dyDescent="0.3">
      <c r="A30" s="210">
        <f>'Unit Data from Audit Worksheet'!A36</f>
        <v>386</v>
      </c>
      <c r="B30" s="223" t="str">
        <f>'Unit Data from Audit Worksheet'!C36</f>
        <v>Statement of Activities - Governmental</v>
      </c>
      <c r="C30" s="209" t="str">
        <f>'Unit Data from Audit Worksheet'!D36</f>
        <v>Total Transfers in    (Preference is that transfers-in  are not netted against transfers-out)</v>
      </c>
      <c r="D30" s="102"/>
      <c r="E30" s="229">
        <f>'Unit Data from Audit Worksheet'!F36</f>
        <v>0</v>
      </c>
      <c r="F30" s="222">
        <f t="shared" si="4"/>
        <v>0</v>
      </c>
      <c r="G30" s="224"/>
      <c r="H30" s="221"/>
      <c r="I30" s="32"/>
      <c r="J30" s="220">
        <v>386</v>
      </c>
      <c r="K30" s="219" t="s">
        <v>185</v>
      </c>
      <c r="L30" s="287">
        <f t="shared" si="3"/>
        <v>0</v>
      </c>
      <c r="P30" s="194"/>
      <c r="X30" s="549">
        <v>386</v>
      </c>
      <c r="Y30" s="284">
        <v>386</v>
      </c>
      <c r="AA30" s="384">
        <f t="shared" si="0"/>
        <v>0</v>
      </c>
      <c r="AB30" s="284">
        <f t="shared" si="1"/>
        <v>0</v>
      </c>
    </row>
    <row r="31" spans="1:28" ht="82.5" customHeight="1" x14ac:dyDescent="0.3">
      <c r="A31" s="210">
        <f>'Unit Data from Audit Worksheet'!A37</f>
        <v>387</v>
      </c>
      <c r="B31" s="223" t="str">
        <f>'Unit Data from Audit Worksheet'!C37</f>
        <v>Statement of Activities - Governmental</v>
      </c>
      <c r="C31" s="209" t="str">
        <f>'Unit Data from Audit Worksheet'!D37</f>
        <v>Total Transfers out    (Preference is that transfers-in  are not netted against transfers-out)</v>
      </c>
      <c r="D31" s="102"/>
      <c r="E31" s="229">
        <f>'Unit Data from Audit Worksheet'!F37</f>
        <v>0</v>
      </c>
      <c r="F31" s="222">
        <f>IF(L31&lt;0,"Error: Enter as a positive.",)</f>
        <v>0</v>
      </c>
      <c r="G31" s="224"/>
      <c r="H31" s="221"/>
      <c r="I31" s="32"/>
      <c r="J31" s="220">
        <v>387</v>
      </c>
      <c r="K31" s="219" t="s">
        <v>186</v>
      </c>
      <c r="L31" s="287">
        <f t="shared" si="3"/>
        <v>0</v>
      </c>
      <c r="P31" s="194"/>
      <c r="X31" s="549">
        <v>387</v>
      </c>
      <c r="Y31" s="284">
        <v>387</v>
      </c>
      <c r="AA31" s="384">
        <f t="shared" si="0"/>
        <v>0</v>
      </c>
      <c r="AB31" s="284">
        <f t="shared" si="1"/>
        <v>0</v>
      </c>
    </row>
    <row r="32" spans="1:28" ht="82.5" customHeight="1" x14ac:dyDescent="0.3">
      <c r="A32" s="210">
        <f>'Unit Data from Audit Worksheet'!A38</f>
        <v>389</v>
      </c>
      <c r="B32" s="223" t="str">
        <f>'Unit Data from Audit Worksheet'!C38</f>
        <v>Statement of Activities - Governmental</v>
      </c>
      <c r="C32" s="209" t="str">
        <f>'Unit Data from Audit Worksheet'!D38</f>
        <v>Total Special and Extraordinary items.    (Amounts that increase net position are recorded as positive and amounts that decrease net position are recorded as negative)</v>
      </c>
      <c r="D32" s="102"/>
      <c r="E32" s="229">
        <f>'Unit Data from Audit Worksheet'!F38</f>
        <v>0</v>
      </c>
      <c r="F32" s="222"/>
      <c r="G32" s="224"/>
      <c r="H32" s="221"/>
      <c r="I32" s="32"/>
      <c r="J32" s="220">
        <v>389</v>
      </c>
      <c r="K32" s="219" t="s">
        <v>187</v>
      </c>
      <c r="L32" s="287">
        <f t="shared" si="3"/>
        <v>0</v>
      </c>
      <c r="N32" s="295"/>
      <c r="P32" s="194"/>
      <c r="X32" s="549">
        <v>389</v>
      </c>
      <c r="Y32" s="284">
        <v>389</v>
      </c>
      <c r="AA32" s="384">
        <f t="shared" si="0"/>
        <v>0</v>
      </c>
      <c r="AB32" s="284">
        <f t="shared" si="1"/>
        <v>0</v>
      </c>
    </row>
    <row r="33" spans="1:28" ht="79.5" customHeight="1" x14ac:dyDescent="0.3">
      <c r="A33" s="210">
        <f>'Unit Data from Audit Worksheet'!A39</f>
        <v>255</v>
      </c>
      <c r="B33" s="223" t="str">
        <f>'Unit Data from Audit Worksheet'!C39</f>
        <v>Statement of Activities - Governmental</v>
      </c>
      <c r="C33" s="209" t="str">
        <f>'Unit Data from Audit Worksheet'!D39</f>
        <v>Total Change in net position - (Increase in net position is recorded as a positive and a decrease in net position is recorded as a negative)</v>
      </c>
      <c r="D33" s="102"/>
      <c r="E33" s="229">
        <f>'Unit Data from Audit Worksheet'!F39</f>
        <v>0</v>
      </c>
      <c r="F33" s="222">
        <f>IF((L26+L27+L28+L29+L30-L31+L32-L25-L33)=0,,"Total revenues less total expenses do not equal total change in net position. Acct 339+504+505+341+386-387+389-388-255=0")</f>
        <v>0</v>
      </c>
      <c r="G33" s="84">
        <f>L26+L27+L28+L29+L30-L31+L32-L25-L33</f>
        <v>0</v>
      </c>
      <c r="H33" s="221"/>
      <c r="I33" s="32"/>
      <c r="J33" s="220">
        <v>255</v>
      </c>
      <c r="K33" s="219" t="s">
        <v>188</v>
      </c>
      <c r="L33" s="287">
        <f t="shared" si="3"/>
        <v>0</v>
      </c>
      <c r="O33" s="294" t="e">
        <f>'Unit Data from Audit Worksheet'!E39</f>
        <v>#N/A</v>
      </c>
      <c r="P33" s="194"/>
      <c r="X33" s="549">
        <v>255</v>
      </c>
      <c r="Y33" s="284">
        <v>255</v>
      </c>
      <c r="AA33" s="384">
        <f t="shared" si="0"/>
        <v>0</v>
      </c>
      <c r="AB33" s="284">
        <f t="shared" si="1"/>
        <v>0</v>
      </c>
    </row>
    <row r="34" spans="1:28" ht="89.25" customHeight="1" x14ac:dyDescent="0.3">
      <c r="A34" s="210">
        <f>'Unit Data from Audit Worksheet'!A40</f>
        <v>376</v>
      </c>
      <c r="B34" s="223" t="str">
        <f>'Unit Data from Audit Worksheet'!C40</f>
        <v>Statement of Activities - Governmental</v>
      </c>
      <c r="C34" s="209" t="str">
        <f>'Unit Data from Audit Worksheet'!D40</f>
        <v>Any adjustment to beginning net position including rounding, prior period adjustments and restatements.   (Increases to net position are positive; decreases to net position are negative)</v>
      </c>
      <c r="D34" s="102"/>
      <c r="E34" s="229">
        <f>'Unit Data from Audit Worksheet'!F40</f>
        <v>0</v>
      </c>
      <c r="F34" s="80" t="e">
        <f>IF(L19+L20+L21-L33-L34=O19+O20+O21,,"Beginning Balance does not agree with our records acct (252+253+254-255-376=PY252+PY253+PY254)")</f>
        <v>#N/A</v>
      </c>
      <c r="G34" s="85" t="e">
        <f>L19+L20+L21-L33-L34-(O19+O20+O21)</f>
        <v>#N/A</v>
      </c>
      <c r="H34" s="221" t="e">
        <f>'Unit Data from Audit Worksheet'!I40</f>
        <v>#N/A</v>
      </c>
      <c r="I34" s="32"/>
      <c r="J34" s="220">
        <v>376</v>
      </c>
      <c r="K34" s="219" t="s">
        <v>100</v>
      </c>
      <c r="L34" s="287">
        <f t="shared" si="3"/>
        <v>0</v>
      </c>
      <c r="O34" s="294" t="e">
        <f>'Unit Data from Audit Worksheet'!E40</f>
        <v>#N/A</v>
      </c>
      <c r="P34" s="194"/>
      <c r="R34" s="382"/>
      <c r="S34" s="382"/>
      <c r="T34" s="382"/>
      <c r="U34" s="382"/>
      <c r="V34" s="382"/>
      <c r="W34" s="382"/>
      <c r="X34" s="549">
        <v>376</v>
      </c>
      <c r="Y34" s="284">
        <v>376</v>
      </c>
      <c r="Z34" s="382"/>
      <c r="AA34" s="384">
        <f t="shared" si="0"/>
        <v>0</v>
      </c>
      <c r="AB34" s="284">
        <f t="shared" si="1"/>
        <v>0</v>
      </c>
    </row>
    <row r="35" spans="1:28" ht="157.5" customHeight="1" x14ac:dyDescent="0.3">
      <c r="A35" s="210">
        <f>'Unit Data from Audit Worksheet'!A41</f>
        <v>597</v>
      </c>
      <c r="B35" s="223" t="str">
        <f>'Unit Data from Audit Worksheet'!C41</f>
        <v>Statement of Activities                               (all governmental and business funds)</v>
      </c>
      <c r="C35" s="209" t="str">
        <f>'Unit Data from Audit Worksheet'!D41</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02"/>
      <c r="E35" s="229">
        <f>'Unit Data from Audit Worksheet'!F41</f>
        <v>0</v>
      </c>
      <c r="F35" s="222">
        <f>IF(L35&lt;0,"Error: Number is normally positive.",)</f>
        <v>0</v>
      </c>
      <c r="G35" s="224"/>
      <c r="H35" s="221"/>
      <c r="I35" s="32"/>
      <c r="J35" s="220">
        <v>597</v>
      </c>
      <c r="K35" s="219" t="s">
        <v>336</v>
      </c>
      <c r="L35" s="287">
        <f t="shared" si="3"/>
        <v>0</v>
      </c>
      <c r="O35" s="294"/>
      <c r="P35" s="194"/>
      <c r="R35" s="382"/>
      <c r="S35" s="382"/>
      <c r="T35" s="382"/>
      <c r="U35" s="382"/>
      <c r="V35" s="382"/>
      <c r="W35" s="382"/>
      <c r="X35" s="549">
        <v>597</v>
      </c>
      <c r="Y35" s="284">
        <v>597</v>
      </c>
      <c r="Z35" s="382"/>
      <c r="AA35" s="384">
        <f t="shared" si="0"/>
        <v>0</v>
      </c>
      <c r="AB35" s="284">
        <f t="shared" si="1"/>
        <v>0</v>
      </c>
    </row>
    <row r="36" spans="1:28" ht="90" customHeight="1" x14ac:dyDescent="0.3">
      <c r="A36" s="210">
        <f>'Unit Data from Audit Worksheet'!A43</f>
        <v>592</v>
      </c>
      <c r="B36" s="223" t="str">
        <f>'Unit Data from Audit Worksheet'!C43</f>
        <v>Statement of Activities - Business Activities</v>
      </c>
      <c r="C36" s="209" t="str">
        <f>'Unit Data from Audit Worksheet'!D43</f>
        <v>Total Change in net position Business Type 
(Increase in net position is recorded as a positive and a decrease in net position is recorded as a negative)</v>
      </c>
      <c r="D36" s="102"/>
      <c r="E36" s="229">
        <f>'Unit Data from Audit Worksheet'!F43</f>
        <v>0</v>
      </c>
      <c r="F36" s="222"/>
      <c r="G36" s="224"/>
      <c r="H36" s="221"/>
      <c r="I36" s="32"/>
      <c r="J36" s="220">
        <v>592</v>
      </c>
      <c r="K36" s="219" t="s">
        <v>328</v>
      </c>
      <c r="L36" s="287">
        <f t="shared" si="3"/>
        <v>0</v>
      </c>
      <c r="O36" s="294"/>
      <c r="P36" s="194"/>
      <c r="R36" s="382"/>
      <c r="S36" s="382"/>
      <c r="T36" s="382"/>
      <c r="U36" s="382"/>
      <c r="V36" s="382"/>
      <c r="W36" s="382"/>
      <c r="X36" s="549">
        <v>592</v>
      </c>
      <c r="Y36" s="284">
        <v>592</v>
      </c>
      <c r="Z36" s="382"/>
      <c r="AA36" s="384">
        <f t="shared" si="0"/>
        <v>0</v>
      </c>
      <c r="AB36" s="284">
        <f t="shared" si="1"/>
        <v>0</v>
      </c>
    </row>
    <row r="37" spans="1:28" ht="66" customHeight="1" x14ac:dyDescent="0.3">
      <c r="A37" s="210">
        <f>'Unit Data from Audit Worksheet'!A44</f>
        <v>591</v>
      </c>
      <c r="B37" s="223" t="str">
        <f>'Unit Data from Audit Worksheet'!C44</f>
        <v>Statement of Activities - Business Activities</v>
      </c>
      <c r="C37" s="209" t="str">
        <f>'Unit Data from Audit Worksheet'!D44</f>
        <v>Total Expenses - Exclude Transfers</v>
      </c>
      <c r="D37" s="102"/>
      <c r="E37" s="229">
        <f>'Unit Data from Audit Worksheet'!F44</f>
        <v>0</v>
      </c>
      <c r="F37" s="222">
        <f>IF(L37&lt;0,"Error: Enter as a positive.",)</f>
        <v>0</v>
      </c>
      <c r="G37" s="224"/>
      <c r="H37" s="221"/>
      <c r="I37" s="32"/>
      <c r="J37" s="220">
        <v>591</v>
      </c>
      <c r="K37" s="219" t="s">
        <v>327</v>
      </c>
      <c r="L37" s="287">
        <f t="shared" si="3"/>
        <v>0</v>
      </c>
      <c r="O37" s="294"/>
      <c r="P37" s="194"/>
      <c r="R37" s="382"/>
      <c r="S37" s="382"/>
      <c r="T37" s="382"/>
      <c r="U37" s="382"/>
      <c r="V37" s="382"/>
      <c r="W37" s="382"/>
      <c r="X37" s="549">
        <v>591</v>
      </c>
      <c r="Y37" s="284">
        <v>591</v>
      </c>
      <c r="Z37" s="382"/>
      <c r="AA37" s="384">
        <f t="shared" si="0"/>
        <v>0</v>
      </c>
      <c r="AB37" s="284">
        <f t="shared" si="1"/>
        <v>0</v>
      </c>
    </row>
    <row r="38" spans="1:28" ht="54" customHeight="1" x14ac:dyDescent="0.3">
      <c r="A38" s="210">
        <f>'Unit Data from Audit Worksheet'!A46</f>
        <v>506</v>
      </c>
      <c r="B38" s="47" t="str">
        <f>'Unit Data from Audit Worksheet'!C46</f>
        <v>General Fund-Balance Sheet</v>
      </c>
      <c r="C38" s="296" t="str">
        <f>'Unit Data from Audit Worksheet'!D46</f>
        <v xml:space="preserve">All unrestricted cash and investments.  
Exclude restricted cash and cash held by a third party. </v>
      </c>
      <c r="D38" s="102"/>
      <c r="E38" s="144">
        <f>'Unit Data from Audit Worksheet'!F46</f>
        <v>0</v>
      </c>
      <c r="F38" s="31">
        <f>IF(L38&lt;0,"Error: Number is normally positive.",)</f>
        <v>0</v>
      </c>
      <c r="G38" s="66"/>
      <c r="H38" s="221"/>
      <c r="I38" s="32"/>
      <c r="J38" s="35">
        <v>506</v>
      </c>
      <c r="K38" s="219" t="s">
        <v>189</v>
      </c>
      <c r="L38" s="297">
        <f t="shared" ref="L38:L51" si="5">IF(D38="",E38,D38)</f>
        <v>0</v>
      </c>
      <c r="P38" s="195"/>
      <c r="X38" s="549">
        <v>506</v>
      </c>
      <c r="Y38" s="284">
        <v>506</v>
      </c>
      <c r="AA38" s="384">
        <f t="shared" si="0"/>
        <v>0</v>
      </c>
      <c r="AB38" s="284">
        <f t="shared" si="1"/>
        <v>0</v>
      </c>
    </row>
    <row r="39" spans="1:28" ht="45.75" customHeight="1" x14ac:dyDescent="0.3">
      <c r="A39" s="210">
        <f>'Unit Data from Audit Worksheet'!A47</f>
        <v>536</v>
      </c>
      <c r="B39" s="47" t="str">
        <f>'Unit Data from Audit Worksheet'!C47</f>
        <v>General Fund-Balance Sheet</v>
      </c>
      <c r="C39" s="296" t="str">
        <f>'Unit Data from Audit Worksheet'!D47</f>
        <v>All restricted cash and investments</v>
      </c>
      <c r="D39" s="102"/>
      <c r="E39" s="144">
        <f>'Unit Data from Audit Worksheet'!F47</f>
        <v>0</v>
      </c>
      <c r="F39" s="31">
        <f>IF(L39&lt;0,"Error: Number is normally positive.",)</f>
        <v>0</v>
      </c>
      <c r="G39" s="66"/>
      <c r="H39" s="221"/>
      <c r="I39" s="32"/>
      <c r="J39" s="35">
        <v>536</v>
      </c>
      <c r="K39" s="219" t="s">
        <v>190</v>
      </c>
      <c r="L39" s="297">
        <f t="shared" si="5"/>
        <v>0</v>
      </c>
      <c r="P39" s="196"/>
      <c r="Q39" s="291"/>
      <c r="S39" s="290"/>
      <c r="T39" s="290"/>
      <c r="U39" s="290"/>
      <c r="V39" s="290"/>
      <c r="W39" s="18"/>
      <c r="X39" s="549">
        <v>536</v>
      </c>
      <c r="Y39" s="284">
        <v>536</v>
      </c>
      <c r="Z39" s="18"/>
      <c r="AA39" s="384">
        <f t="shared" si="0"/>
        <v>0</v>
      </c>
      <c r="AB39" s="284">
        <f t="shared" si="1"/>
        <v>0</v>
      </c>
    </row>
    <row r="40" spans="1:28" ht="56.25" customHeight="1" x14ac:dyDescent="0.3">
      <c r="A40" s="210">
        <f>'Unit Data from Audit Worksheet'!A48</f>
        <v>586</v>
      </c>
      <c r="B40" s="223" t="str">
        <f>'Unit Data from Audit Worksheet'!C48</f>
        <v>General Fund-Balance Sheet</v>
      </c>
      <c r="C40" s="209" t="str">
        <f>'Unit Data from Audit Worksheet'!D48</f>
        <v>Advance To: Interfund loan receivable-portion of repayment plan longer than 12 months</v>
      </c>
      <c r="D40" s="134"/>
      <c r="E40" s="229">
        <f>'Unit Data from Audit Worksheet'!F48</f>
        <v>0</v>
      </c>
      <c r="F40" s="222"/>
      <c r="G40" s="224"/>
      <c r="H40" s="221"/>
      <c r="I40" s="32"/>
      <c r="J40" s="220">
        <v>586</v>
      </c>
      <c r="K40" s="209" t="s">
        <v>313</v>
      </c>
      <c r="L40" s="287">
        <f t="shared" si="5"/>
        <v>0</v>
      </c>
      <c r="P40" s="196"/>
      <c r="Q40" s="291"/>
      <c r="S40" s="290"/>
      <c r="T40" s="290"/>
      <c r="U40" s="290"/>
      <c r="V40" s="290"/>
      <c r="W40" s="18"/>
      <c r="X40" s="549">
        <v>586</v>
      </c>
      <c r="Y40" s="284">
        <v>586</v>
      </c>
      <c r="Z40" s="18"/>
      <c r="AA40" s="384">
        <f t="shared" si="0"/>
        <v>0</v>
      </c>
      <c r="AB40" s="284">
        <f t="shared" si="1"/>
        <v>0</v>
      </c>
    </row>
    <row r="41" spans="1:28" ht="28.8" x14ac:dyDescent="0.3">
      <c r="A41" s="210">
        <f>'Unit Data from Audit Worksheet'!A49</f>
        <v>379</v>
      </c>
      <c r="B41" s="223" t="str">
        <f>'Unit Data from Audit Worksheet'!C49</f>
        <v>General Fund-Balance Sheet</v>
      </c>
      <c r="C41" s="209" t="str">
        <f>'Unit Data from Audit Worksheet'!D49</f>
        <v>Total Assets and deferred outflows</v>
      </c>
      <c r="D41" s="134"/>
      <c r="E41" s="229">
        <f>'Unit Data from Audit Worksheet'!F49</f>
        <v>0</v>
      </c>
      <c r="F41" s="77">
        <f>IF((L38+L39)&gt;L41,"Error: Please review accts (506+536)&gt;379",)</f>
        <v>0</v>
      </c>
      <c r="G41" s="224"/>
      <c r="H41" s="221"/>
      <c r="I41" s="32"/>
      <c r="J41" s="220">
        <v>379</v>
      </c>
      <c r="K41" s="219" t="s">
        <v>110</v>
      </c>
      <c r="L41" s="287">
        <f t="shared" si="5"/>
        <v>0</v>
      </c>
      <c r="P41" s="193"/>
      <c r="X41" s="549">
        <v>379</v>
      </c>
      <c r="Y41" s="284">
        <v>379</v>
      </c>
      <c r="AA41" s="384">
        <f t="shared" si="0"/>
        <v>0</v>
      </c>
      <c r="AB41" s="284">
        <f t="shared" si="1"/>
        <v>0</v>
      </c>
    </row>
    <row r="42" spans="1:28" ht="106.5" customHeight="1" x14ac:dyDescent="0.3">
      <c r="A42" s="210">
        <f>'Unit Data from Audit Worksheet'!A50</f>
        <v>368</v>
      </c>
      <c r="B42" s="223" t="str">
        <f>'Unit Data from Audit Worksheet'!C50</f>
        <v>General Fund-Balance Sheet</v>
      </c>
      <c r="C42" s="209" t="str">
        <f>'Unit Data from Audit Worksheet'!D50</f>
        <v>Total Liabilities payable from restricted assets (only complete if this is listed in your financial statements for the general fund and the auditor has listed the cash to be used to pay the liabilities as restricted)</v>
      </c>
      <c r="D42" s="134"/>
      <c r="E42" s="229">
        <f>'Unit Data from Audit Worksheet'!F50</f>
        <v>0</v>
      </c>
      <c r="F42" s="222">
        <f>IF(L42&lt;0,"Error: Enter as a positive.",)</f>
        <v>0</v>
      </c>
      <c r="G42" s="224"/>
      <c r="H42" s="221"/>
      <c r="I42" s="32"/>
      <c r="J42" s="220">
        <v>368</v>
      </c>
      <c r="K42" s="219" t="s">
        <v>191</v>
      </c>
      <c r="L42" s="287">
        <f t="shared" si="5"/>
        <v>0</v>
      </c>
      <c r="P42" s="194"/>
      <c r="S42" s="18"/>
      <c r="T42" s="18"/>
      <c r="U42" s="18"/>
      <c r="V42" s="18"/>
      <c r="X42" s="549">
        <v>368</v>
      </c>
      <c r="Y42" s="284">
        <v>368</v>
      </c>
      <c r="Z42" s="18"/>
      <c r="AA42" s="384">
        <f t="shared" si="0"/>
        <v>0</v>
      </c>
      <c r="AB42" s="284">
        <f t="shared" si="1"/>
        <v>0</v>
      </c>
    </row>
    <row r="43" spans="1:28" ht="90.75" customHeight="1" x14ac:dyDescent="0.3">
      <c r="A43" s="210">
        <f>'Unit Data from Audit Worksheet'!A51</f>
        <v>4</v>
      </c>
      <c r="B43" s="47" t="str">
        <f>'Unit Data from Audit Worksheet'!C51</f>
        <v>General Fund-Balance Sheet</v>
      </c>
      <c r="C43" s="296" t="str">
        <f>'Unit Data from Audit Worksheet'!D51</f>
        <v>Current Liabilities (as reported on the Balance Sheet)
Exclude all deferred inflows. 
Include advance from(long-term portion of interfund loans)</v>
      </c>
      <c r="D43" s="134"/>
      <c r="E43" s="144">
        <f>'Unit Data from Audit Worksheet'!F51</f>
        <v>0</v>
      </c>
      <c r="F43" s="31">
        <f t="shared" ref="F43:F52" si="6">IF(L43&lt;0,"Error: Enter as a positive.",)</f>
        <v>0</v>
      </c>
      <c r="G43" s="66"/>
      <c r="H43" s="221"/>
      <c r="I43" s="32"/>
      <c r="J43" s="35">
        <v>4</v>
      </c>
      <c r="K43" s="219" t="s">
        <v>111</v>
      </c>
      <c r="L43" s="297">
        <f t="shared" si="5"/>
        <v>0</v>
      </c>
      <c r="P43" s="194"/>
      <c r="S43" s="18"/>
      <c r="T43" s="18"/>
      <c r="U43" s="18"/>
      <c r="V43" s="18"/>
      <c r="X43" s="549">
        <v>4</v>
      </c>
      <c r="Y43" s="284">
        <v>4</v>
      </c>
      <c r="Z43" s="18"/>
      <c r="AA43" s="384">
        <f t="shared" si="0"/>
        <v>0</v>
      </c>
      <c r="AB43" s="284">
        <f t="shared" si="1"/>
        <v>0</v>
      </c>
    </row>
    <row r="44" spans="1:28" ht="131.25" customHeight="1" x14ac:dyDescent="0.3">
      <c r="A44" s="210">
        <f>'Unit Data from Audit Worksheet'!A52</f>
        <v>5</v>
      </c>
      <c r="B44" s="47" t="str">
        <f>'Unit Data from Audit Worksheet'!C52</f>
        <v>General Fund-Balance Sheet</v>
      </c>
      <c r="C44" s="296" t="str">
        <f>'Unit Data from Audit Worksheet'!D52</f>
        <v>General fund deferred inflows derived from cash receipts. 
 Prepaid taxes is a common item listed.  Deferred inflows on the face of the statements can include cash and non-cash.  You may have to refer to the note disclosure where the cash and non-cash is broken out.</v>
      </c>
      <c r="D44" s="134"/>
      <c r="E44" s="144">
        <f>'Unit Data from Audit Worksheet'!F52</f>
        <v>0</v>
      </c>
      <c r="F44" s="31">
        <f t="shared" si="6"/>
        <v>0</v>
      </c>
      <c r="G44" s="66"/>
      <c r="H44" s="221"/>
      <c r="I44" s="32"/>
      <c r="J44" s="35">
        <v>5</v>
      </c>
      <c r="K44" s="219" t="s">
        <v>112</v>
      </c>
      <c r="L44" s="297">
        <f t="shared" si="5"/>
        <v>0</v>
      </c>
      <c r="P44" s="194"/>
      <c r="S44" s="18"/>
      <c r="T44" s="18"/>
      <c r="U44" s="18"/>
      <c r="V44" s="18"/>
      <c r="X44" s="549">
        <v>5</v>
      </c>
      <c r="Y44" s="284">
        <v>5</v>
      </c>
      <c r="Z44" s="18"/>
      <c r="AA44" s="384">
        <f t="shared" si="0"/>
        <v>0</v>
      </c>
      <c r="AB44" s="284">
        <f t="shared" si="1"/>
        <v>0</v>
      </c>
    </row>
    <row r="45" spans="1:28" ht="104.25" customHeight="1" x14ac:dyDescent="0.3">
      <c r="A45" s="210">
        <f>'Unit Data from Audit Worksheet'!A53</f>
        <v>380</v>
      </c>
      <c r="B45" s="223" t="str">
        <f>'Unit Data from Audit Worksheet'!C53</f>
        <v>General Fund-Balance Sheet</v>
      </c>
      <c r="C45" s="209" t="str">
        <f>'Unit Data from Audit Worksheet'!D53</f>
        <v>Total Deferred inflows not derived from cash receipts.  Deferred inflows on the face of the statements can include cash and non-cash.  You may have to refer to the note disclosure where the cash and non-cash is broken out.</v>
      </c>
      <c r="D45" s="134"/>
      <c r="E45" s="229">
        <f>'Unit Data from Audit Worksheet'!F53</f>
        <v>0</v>
      </c>
      <c r="F45" s="222">
        <f t="shared" si="6"/>
        <v>0</v>
      </c>
      <c r="G45" s="224"/>
      <c r="H45" s="221"/>
      <c r="I45" s="32"/>
      <c r="J45" s="220">
        <v>380</v>
      </c>
      <c r="K45" s="219" t="s">
        <v>113</v>
      </c>
      <c r="L45" s="287">
        <f t="shared" si="5"/>
        <v>0</v>
      </c>
      <c r="P45" s="194"/>
      <c r="X45" s="549">
        <v>380</v>
      </c>
      <c r="Y45" s="284">
        <v>380</v>
      </c>
      <c r="AA45" s="384">
        <f t="shared" si="0"/>
        <v>0</v>
      </c>
      <c r="AB45" s="284">
        <f t="shared" si="1"/>
        <v>0</v>
      </c>
    </row>
    <row r="46" spans="1:28" ht="41.25" customHeight="1" x14ac:dyDescent="0.3">
      <c r="A46" s="210">
        <f>'Unit Data from Audit Worksheet'!A54</f>
        <v>391</v>
      </c>
      <c r="B46" s="223" t="str">
        <f>'Unit Data from Audit Worksheet'!C54</f>
        <v>General Fund-Balance Sheet</v>
      </c>
      <c r="C46" s="209" t="str">
        <f>'Unit Data from Audit Worksheet'!D54</f>
        <v xml:space="preserve">Fund balance, Restricted for Stabilization by State Statute </v>
      </c>
      <c r="D46" s="134"/>
      <c r="E46" s="229">
        <f>'Unit Data from Audit Worksheet'!F54</f>
        <v>0</v>
      </c>
      <c r="F46" s="222">
        <f t="shared" si="6"/>
        <v>0</v>
      </c>
      <c r="G46" s="224"/>
      <c r="H46" s="221"/>
      <c r="I46" s="32"/>
      <c r="J46" s="220">
        <v>391</v>
      </c>
      <c r="K46" s="219" t="s">
        <v>192</v>
      </c>
      <c r="L46" s="287">
        <f t="shared" si="5"/>
        <v>0</v>
      </c>
      <c r="P46" s="194"/>
      <c r="X46" s="549">
        <v>391</v>
      </c>
      <c r="Y46" s="284">
        <v>391</v>
      </c>
      <c r="AA46" s="384">
        <f t="shared" si="0"/>
        <v>0</v>
      </c>
      <c r="AB46" s="284">
        <f t="shared" si="1"/>
        <v>0</v>
      </c>
    </row>
    <row r="47" spans="1:28" ht="28.8" x14ac:dyDescent="0.3">
      <c r="A47" s="210">
        <f>'Unit Data from Audit Worksheet'!A55</f>
        <v>7</v>
      </c>
      <c r="B47" s="47" t="str">
        <f>'Unit Data from Audit Worksheet'!C55</f>
        <v>General Fund-Balance Sheet</v>
      </c>
      <c r="C47" s="296" t="str">
        <f>'Unit Data from Audit Worksheet'!D55</f>
        <v>Fund balance, Nonspendable-  inventory/prepaids/etc.</v>
      </c>
      <c r="D47" s="134"/>
      <c r="E47" s="144">
        <f>'Unit Data from Audit Worksheet'!F55</f>
        <v>0</v>
      </c>
      <c r="F47" s="31">
        <f t="shared" si="6"/>
        <v>0</v>
      </c>
      <c r="G47" s="66"/>
      <c r="H47" s="221"/>
      <c r="I47" s="32"/>
      <c r="J47" s="35">
        <v>7</v>
      </c>
      <c r="K47" s="219" t="s">
        <v>193</v>
      </c>
      <c r="L47" s="297">
        <f t="shared" si="5"/>
        <v>0</v>
      </c>
      <c r="P47" s="194"/>
      <c r="X47" s="549">
        <v>7</v>
      </c>
      <c r="Y47" s="284">
        <v>7</v>
      </c>
      <c r="AA47" s="384">
        <f t="shared" si="0"/>
        <v>0</v>
      </c>
      <c r="AB47" s="284">
        <f t="shared" si="1"/>
        <v>0</v>
      </c>
    </row>
    <row r="48" spans="1:28" ht="89.25" customHeight="1" x14ac:dyDescent="0.3">
      <c r="A48" s="298">
        <f>'Unit Data from Audit Worksheet'!A56</f>
        <v>11</v>
      </c>
      <c r="B48" s="109" t="str">
        <f>'Unit Data from Audit Worksheet'!C56</f>
        <v>General Fund-Balance Sheet</v>
      </c>
      <c r="C48" s="289" t="str">
        <f>'Unit Data from Audit Worksheet'!D56</f>
        <v>Fund balance, Restricted for Streets (unspent Powell Bill balance).  You may have to refer to the note disclosure where restricted fund balance is described.</v>
      </c>
      <c r="D48" s="102"/>
      <c r="E48" s="145">
        <f>'Unit Data from Audit Worksheet'!F56</f>
        <v>0</v>
      </c>
      <c r="F48" s="103">
        <f t="shared" si="6"/>
        <v>0</v>
      </c>
      <c r="G48" s="104"/>
      <c r="H48" s="105"/>
      <c r="I48" s="32"/>
      <c r="J48" s="97">
        <v>11</v>
      </c>
      <c r="K48" s="38" t="s">
        <v>194</v>
      </c>
      <c r="L48" s="287">
        <f t="shared" si="5"/>
        <v>0</v>
      </c>
      <c r="P48" s="194"/>
      <c r="X48" s="549">
        <v>11</v>
      </c>
      <c r="Y48" s="284">
        <v>11</v>
      </c>
      <c r="AA48" s="384">
        <f t="shared" si="0"/>
        <v>0</v>
      </c>
      <c r="AB48" s="284">
        <f t="shared" si="1"/>
        <v>0</v>
      </c>
    </row>
    <row r="49" spans="1:28" s="18" customFormat="1" ht="48.75" customHeight="1" x14ac:dyDescent="0.3">
      <c r="A49" s="188">
        <f>'Unit Data from Audit Worksheet'!A57</f>
        <v>645</v>
      </c>
      <c r="B49" s="233" t="str">
        <f>'Unit Data from Audit Worksheet'!C57</f>
        <v>General Fund-Balance Sheet</v>
      </c>
      <c r="C49" s="188" t="str">
        <f>'Unit Data from Audit Worksheet'!D57</f>
        <v>Fund balance, Assigned (total of all assigned components)</v>
      </c>
      <c r="D49" s="108"/>
      <c r="E49" s="232">
        <f>'Unit Data from Audit Worksheet'!F57</f>
        <v>0</v>
      </c>
      <c r="F49" s="217">
        <f>IF(L49&lt;0,"Error: Enter as a positive.",)</f>
        <v>0</v>
      </c>
      <c r="G49" s="205"/>
      <c r="H49" s="217"/>
      <c r="I49" s="299"/>
      <c r="J49" s="216">
        <v>645</v>
      </c>
      <c r="K49" s="188" t="s">
        <v>381</v>
      </c>
      <c r="L49" s="300">
        <f t="shared" si="5"/>
        <v>0</v>
      </c>
      <c r="M49"/>
      <c r="N49" s="290"/>
      <c r="O49" s="290"/>
      <c r="P49" s="194"/>
      <c r="Q49" s="277"/>
      <c r="R49" s="3"/>
      <c r="S49" s="3"/>
      <c r="T49" s="3"/>
      <c r="U49" s="3"/>
      <c r="V49" s="3"/>
      <c r="W49" s="3"/>
      <c r="X49" s="549">
        <v>645</v>
      </c>
      <c r="Y49" s="284">
        <v>645</v>
      </c>
      <c r="Z49" s="3"/>
      <c r="AA49" s="384">
        <f t="shared" si="0"/>
        <v>0</v>
      </c>
      <c r="AB49" s="284">
        <f t="shared" si="1"/>
        <v>0</v>
      </c>
    </row>
    <row r="50" spans="1:28" s="18" customFormat="1" ht="45.75" customHeight="1" x14ac:dyDescent="0.3">
      <c r="A50" s="188">
        <f>'Unit Data from Audit Worksheet'!A58</f>
        <v>646</v>
      </c>
      <c r="B50" s="233" t="str">
        <f>'Unit Data from Audit Worksheet'!C58</f>
        <v>General Fund-Balance Sheet</v>
      </c>
      <c r="C50" s="188" t="str">
        <f>'Unit Data from Audit Worksheet'!D58</f>
        <v>Fund Balance, Unassigned</v>
      </c>
      <c r="D50" s="108"/>
      <c r="E50" s="232">
        <f>'Unit Data from Audit Worksheet'!F58</f>
        <v>0</v>
      </c>
      <c r="F50" s="217">
        <f>IF(L50&lt;0,"Error: Enter as a positive.",)</f>
        <v>0</v>
      </c>
      <c r="G50" s="205"/>
      <c r="H50" s="217"/>
      <c r="I50" s="299"/>
      <c r="J50" s="216">
        <v>646</v>
      </c>
      <c r="K50" s="188" t="s">
        <v>382</v>
      </c>
      <c r="L50" s="300">
        <f t="shared" si="5"/>
        <v>0</v>
      </c>
      <c r="M50"/>
      <c r="N50" s="290"/>
      <c r="O50" s="290"/>
      <c r="P50" s="194"/>
      <c r="Q50" s="277"/>
      <c r="R50" s="3"/>
      <c r="S50" s="3"/>
      <c r="T50" s="3"/>
      <c r="U50" s="3"/>
      <c r="V50" s="3"/>
      <c r="W50" s="3"/>
      <c r="X50" s="549">
        <v>646</v>
      </c>
      <c r="Y50" s="284">
        <v>646</v>
      </c>
      <c r="Z50" s="3"/>
      <c r="AA50" s="384">
        <f t="shared" si="0"/>
        <v>0</v>
      </c>
      <c r="AB50" s="284">
        <f t="shared" si="1"/>
        <v>0</v>
      </c>
    </row>
    <row r="51" spans="1:28" ht="55.5" customHeight="1" x14ac:dyDescent="0.3">
      <c r="A51" s="285">
        <f>'Unit Data from Audit Worksheet'!A59</f>
        <v>9</v>
      </c>
      <c r="B51" s="110" t="str">
        <f>'Unit Data from Audit Worksheet'!C59</f>
        <v>General Fund-Balance Sheet</v>
      </c>
      <c r="C51" s="301" t="str">
        <f>'Unit Data from Audit Worksheet'!D59</f>
        <v>Total Fund balance (enter fund deficits as negative)</v>
      </c>
      <c r="D51" s="134"/>
      <c r="E51" s="143">
        <f>'Unit Data from Audit Worksheet'!F59</f>
        <v>0</v>
      </c>
      <c r="F51" s="111">
        <f>IF(L41-L43-L44-L45-L51=0,,"Error: Total assets less total liabilities do not equal Acct +379-4-5-380-9=0")</f>
        <v>0</v>
      </c>
      <c r="G51" s="112">
        <f>L41-L43-L44-L45-L51</f>
        <v>0</v>
      </c>
      <c r="H51" s="221"/>
      <c r="I51" s="32"/>
      <c r="J51" s="113">
        <v>9</v>
      </c>
      <c r="K51" s="45" t="s">
        <v>195</v>
      </c>
      <c r="L51" s="297">
        <f t="shared" si="5"/>
        <v>0</v>
      </c>
      <c r="O51" s="294" t="e">
        <f>'Unit Data from Audit Worksheet'!E59</f>
        <v>#N/A</v>
      </c>
      <c r="P51" s="194"/>
      <c r="X51" s="549">
        <v>9</v>
      </c>
      <c r="Y51" s="284">
        <v>9</v>
      </c>
      <c r="AA51" s="384">
        <f t="shared" si="0"/>
        <v>0</v>
      </c>
      <c r="AB51" s="284">
        <f t="shared" si="1"/>
        <v>0</v>
      </c>
    </row>
    <row r="52" spans="1:28" s="18" customFormat="1" ht="73.5" customHeight="1" x14ac:dyDescent="0.3">
      <c r="A52" s="210">
        <f>'Unit Data from Audit Worksheet'!A60</f>
        <v>540</v>
      </c>
      <c r="B52" s="223" t="str">
        <f>'Unit Data from Audit Worksheet'!C60</f>
        <v>General Fund - Budget Actual Statement</v>
      </c>
      <c r="C52" s="209" t="str">
        <f>'Unit Data from Audit Worksheet'!D60</f>
        <v>Amount of the General Fund Balance appropriated in next year's budget. As reported on the General Fund Balance Sheet.</v>
      </c>
      <c r="D52" s="134"/>
      <c r="E52" s="229">
        <f>'Unit Data from Audit Worksheet'!F60</f>
        <v>0</v>
      </c>
      <c r="F52" s="222">
        <f t="shared" si="6"/>
        <v>0</v>
      </c>
      <c r="G52" s="224"/>
      <c r="H52" s="221"/>
      <c r="I52" s="32"/>
      <c r="J52" s="220">
        <v>540</v>
      </c>
      <c r="K52" s="219" t="s">
        <v>253</v>
      </c>
      <c r="L52" s="287">
        <f t="shared" ref="L52:L79" si="7">IF(D52="",E52,D52)</f>
        <v>0</v>
      </c>
      <c r="M52"/>
      <c r="P52" s="194"/>
      <c r="Q52" s="277"/>
      <c r="R52" s="3"/>
      <c r="S52" s="3"/>
      <c r="T52" s="3"/>
      <c r="U52" s="3"/>
      <c r="V52" s="3"/>
      <c r="W52" s="3"/>
      <c r="X52" s="549">
        <v>540</v>
      </c>
      <c r="Y52" s="284">
        <v>540</v>
      </c>
      <c r="Z52" s="3"/>
      <c r="AA52" s="384">
        <f t="shared" si="0"/>
        <v>0</v>
      </c>
      <c r="AB52" s="284">
        <f t="shared" si="1"/>
        <v>0</v>
      </c>
    </row>
    <row r="53" spans="1:28" s="18" customFormat="1" ht="73.5" customHeight="1" x14ac:dyDescent="0.3">
      <c r="A53" s="210">
        <f>'Unit Data from Audit Worksheet'!A61</f>
        <v>1052</v>
      </c>
      <c r="B53" s="223" t="str">
        <f>'Unit Data from Audit Worksheet'!C61</f>
        <v>General Fund-Rev, Exp. Change in Fund Balance</v>
      </c>
      <c r="C53" s="209" t="str">
        <f>'Unit Data from Audit Worksheet'!D61</f>
        <v>Mark to Market unrealized losses in the General Fund. (enter as a negative number)</v>
      </c>
      <c r="D53" s="134"/>
      <c r="E53" s="229">
        <f>'Unit Data from Audit Worksheet'!F61</f>
        <v>0</v>
      </c>
      <c r="F53" s="222"/>
      <c r="G53" s="224"/>
      <c r="H53" s="221"/>
      <c r="I53" s="32"/>
      <c r="J53" s="220">
        <v>1052</v>
      </c>
      <c r="K53" s="219" t="s">
        <v>1532</v>
      </c>
      <c r="L53" s="293">
        <f t="shared" si="7"/>
        <v>0</v>
      </c>
      <c r="M53"/>
      <c r="P53" s="194"/>
      <c r="Q53" s="277"/>
      <c r="R53" s="384"/>
      <c r="S53" s="384"/>
      <c r="T53" s="384"/>
      <c r="U53" s="384"/>
      <c r="V53" s="384"/>
      <c r="W53" s="384"/>
      <c r="X53" s="549"/>
      <c r="Y53" s="284"/>
      <c r="Z53" s="384"/>
      <c r="AA53" s="384">
        <f t="shared" si="0"/>
        <v>0</v>
      </c>
      <c r="AB53" s="284"/>
    </row>
    <row r="54" spans="1:28" s="18" customFormat="1" ht="73.5" customHeight="1" x14ac:dyDescent="0.3">
      <c r="A54" s="210">
        <f>'Unit Data from Audit Worksheet'!A63</f>
        <v>984</v>
      </c>
      <c r="B54" s="223" t="str">
        <f>'Unit Data from Audit Worksheet'!C63</f>
        <v>General Fund - Budget Actual Statement</v>
      </c>
      <c r="C54" s="209" t="str">
        <f>'Unit Data from Audit Worksheet'!D63</f>
        <v>Amount of Ad valorem tax collected (including motor vehicle and prior years) reported on budget actual statement</v>
      </c>
      <c r="D54" s="134"/>
      <c r="E54" s="229">
        <f>'Unit Data from Audit Worksheet'!F63</f>
        <v>0</v>
      </c>
      <c r="F54" s="222"/>
      <c r="G54" s="224"/>
      <c r="H54" s="221"/>
      <c r="I54" s="32"/>
      <c r="J54" s="220">
        <v>984</v>
      </c>
      <c r="K54" s="219" t="s">
        <v>591</v>
      </c>
      <c r="L54" s="293">
        <f t="shared" si="7"/>
        <v>0</v>
      </c>
      <c r="M54"/>
      <c r="P54" s="194"/>
      <c r="Q54" s="277"/>
      <c r="R54" s="3"/>
      <c r="S54" s="3"/>
      <c r="T54" s="3"/>
      <c r="U54" s="3"/>
      <c r="V54" s="3"/>
      <c r="W54" s="3"/>
      <c r="X54" s="549">
        <v>984</v>
      </c>
      <c r="Y54" s="284">
        <v>984</v>
      </c>
      <c r="Z54" s="3"/>
      <c r="AA54" s="384">
        <f t="shared" si="0"/>
        <v>0</v>
      </c>
      <c r="AB54" s="284">
        <f t="shared" si="1"/>
        <v>0</v>
      </c>
    </row>
    <row r="55" spans="1:28" s="18" customFormat="1" ht="73.5" customHeight="1" x14ac:dyDescent="0.3">
      <c r="A55" s="210">
        <f>'Unit Data from Audit Worksheet'!A64</f>
        <v>985</v>
      </c>
      <c r="B55" s="223" t="str">
        <f>'Unit Data from Audit Worksheet'!C64</f>
        <v>General Fund - Budget Actual Statement</v>
      </c>
      <c r="C55" s="209" t="str">
        <f>'Unit Data from Audit Worksheet'!D64</f>
        <v>Amount of Ad valorem tax budgeted (including motor vehicle and prior years) reported on budget actual statement</v>
      </c>
      <c r="D55" s="134"/>
      <c r="E55" s="229">
        <f>'Unit Data from Audit Worksheet'!F64</f>
        <v>0</v>
      </c>
      <c r="F55" s="222"/>
      <c r="G55" s="224"/>
      <c r="H55" s="221"/>
      <c r="I55" s="32"/>
      <c r="J55" s="220">
        <v>985</v>
      </c>
      <c r="K55" s="219" t="s">
        <v>592</v>
      </c>
      <c r="L55" s="293">
        <f t="shared" si="7"/>
        <v>0</v>
      </c>
      <c r="M55"/>
      <c r="P55" s="195"/>
      <c r="Q55" s="277"/>
      <c r="R55" s="3"/>
      <c r="S55" s="3"/>
      <c r="T55" s="3"/>
      <c r="U55" s="3"/>
      <c r="V55" s="3"/>
      <c r="W55" s="3"/>
      <c r="X55" s="549">
        <v>985</v>
      </c>
      <c r="Y55" s="284">
        <v>985</v>
      </c>
      <c r="Z55" s="3"/>
      <c r="AA55" s="384">
        <f t="shared" si="0"/>
        <v>0</v>
      </c>
      <c r="AB55" s="284">
        <f t="shared" si="1"/>
        <v>0</v>
      </c>
    </row>
    <row r="56" spans="1:28" ht="73.5" customHeight="1" x14ac:dyDescent="0.3">
      <c r="A56" s="210">
        <f>'Unit Data from Audit Worksheet'!A65</f>
        <v>369</v>
      </c>
      <c r="B56" s="223" t="str">
        <f>'Unit Data from Audit Worksheet'!C65</f>
        <v>General Fund-Rev, Exp. Change in Fund Balance</v>
      </c>
      <c r="C56" s="209" t="str">
        <f>'Unit Data from Audit Worksheet'!D65</f>
        <v>Total Intergovernmental revenue 
Include restricted and unrestricted revenues</v>
      </c>
      <c r="D56" s="134"/>
      <c r="E56" s="229">
        <f>'Unit Data from Audit Worksheet'!F65</f>
        <v>0</v>
      </c>
      <c r="F56" s="222"/>
      <c r="G56" s="224"/>
      <c r="H56" s="221"/>
      <c r="I56" s="32"/>
      <c r="J56" s="220">
        <v>369</v>
      </c>
      <c r="K56" s="219" t="s">
        <v>196</v>
      </c>
      <c r="L56" s="287">
        <f t="shared" si="7"/>
        <v>0</v>
      </c>
      <c r="P56" s="203"/>
      <c r="X56" s="549">
        <v>369</v>
      </c>
      <c r="Y56" s="292">
        <v>369</v>
      </c>
      <c r="AA56" s="384">
        <f t="shared" si="0"/>
        <v>0</v>
      </c>
      <c r="AB56" s="284">
        <f t="shared" si="1"/>
        <v>0</v>
      </c>
    </row>
    <row r="57" spans="1:28" ht="73.5" customHeight="1" x14ac:dyDescent="0.3">
      <c r="A57" s="210">
        <f>'Unit Data from Audit Worksheet'!A66</f>
        <v>16</v>
      </c>
      <c r="B57" s="223" t="str">
        <f>'Unit Data from Audit Worksheet'!C66</f>
        <v>General Fund-Rev, Exp. Change in Fund Balance</v>
      </c>
      <c r="C57" s="209" t="str">
        <f>'Unit Data from Audit Worksheet'!D66</f>
        <v>Total revenues</v>
      </c>
      <c r="D57" s="134"/>
      <c r="E57" s="229">
        <f>'Unit Data from Audit Worksheet'!F66</f>
        <v>0</v>
      </c>
      <c r="F57" s="222"/>
      <c r="G57" s="224"/>
      <c r="H57" s="221"/>
      <c r="I57" s="32"/>
      <c r="J57" s="220">
        <v>16</v>
      </c>
      <c r="K57" s="219" t="s">
        <v>197</v>
      </c>
      <c r="L57" s="287">
        <f t="shared" si="7"/>
        <v>0</v>
      </c>
      <c r="P57" s="203"/>
      <c r="X57" s="549">
        <v>16</v>
      </c>
      <c r="Y57" s="292">
        <v>16</v>
      </c>
      <c r="AA57" s="384">
        <f t="shared" si="0"/>
        <v>0</v>
      </c>
      <c r="AB57" s="284">
        <f t="shared" si="1"/>
        <v>0</v>
      </c>
    </row>
    <row r="58" spans="1:28" ht="73.5" customHeight="1" x14ac:dyDescent="0.3">
      <c r="A58" s="210">
        <f>'Unit Data from Audit Worksheet'!A67</f>
        <v>370</v>
      </c>
      <c r="B58" s="223" t="str">
        <f>'Unit Data from Audit Worksheet'!C67</f>
        <v>General Fund-Rev, Exp. Change in Fund Balance</v>
      </c>
      <c r="C58" s="209" t="str">
        <f>'Unit Data from Audit Worksheet'!D67</f>
        <v>Debt service expenditures. 
Include principal, interest paid, and bond/debt issuance costs on long-term debt</v>
      </c>
      <c r="D58" s="134"/>
      <c r="E58" s="229">
        <f>'Unit Data from Audit Worksheet'!F67</f>
        <v>0</v>
      </c>
      <c r="F58" s="222">
        <f t="shared" ref="F58:F65" si="8">IF(L58&lt;0,"Error: Enter as a positive.",)</f>
        <v>0</v>
      </c>
      <c r="G58" s="224"/>
      <c r="H58" s="221"/>
      <c r="I58" s="32"/>
      <c r="J58" s="220">
        <v>370</v>
      </c>
      <c r="K58" s="219" t="s">
        <v>198</v>
      </c>
      <c r="L58" s="287">
        <f t="shared" si="7"/>
        <v>0</v>
      </c>
      <c r="P58" s="203"/>
      <c r="X58" s="549">
        <v>370</v>
      </c>
      <c r="Y58" s="284">
        <v>370</v>
      </c>
      <c r="AA58" s="384">
        <f t="shared" si="0"/>
        <v>0</v>
      </c>
      <c r="AB58" s="284">
        <f t="shared" si="1"/>
        <v>0</v>
      </c>
    </row>
    <row r="59" spans="1:28" ht="73.5" customHeight="1" x14ac:dyDescent="0.3">
      <c r="A59" s="210">
        <f>'Unit Data from Audit Worksheet'!A68</f>
        <v>532</v>
      </c>
      <c r="B59" s="223" t="str">
        <f>'Unit Data from Audit Worksheet'!C68</f>
        <v>General Fund-Rev, Exp. Change in Fund Balance</v>
      </c>
      <c r="C59" s="209" t="str">
        <f>'Unit Data from Audit Worksheet'!D68</f>
        <v xml:space="preserve">Total expenditures  
Exclude expenditures in the "other financing sources (uses)" section.
</v>
      </c>
      <c r="D59" s="134"/>
      <c r="E59" s="229">
        <f>'Unit Data from Audit Worksheet'!F68</f>
        <v>0</v>
      </c>
      <c r="F59" s="222">
        <f t="shared" si="8"/>
        <v>0</v>
      </c>
      <c r="G59" s="224"/>
      <c r="H59" s="221"/>
      <c r="I59" s="32"/>
      <c r="J59" s="220">
        <v>532</v>
      </c>
      <c r="K59" s="305" t="s">
        <v>199</v>
      </c>
      <c r="L59" s="287">
        <f t="shared" si="7"/>
        <v>0</v>
      </c>
      <c r="P59" s="203"/>
      <c r="X59" s="549">
        <v>532</v>
      </c>
      <c r="Y59" s="284">
        <v>532</v>
      </c>
      <c r="AA59" s="384">
        <f t="shared" si="0"/>
        <v>0</v>
      </c>
      <c r="AB59" s="284">
        <f t="shared" si="1"/>
        <v>0</v>
      </c>
    </row>
    <row r="60" spans="1:28" s="384" customFormat="1" ht="73.5" customHeight="1" x14ac:dyDescent="0.3">
      <c r="A60" s="210">
        <f>'Unit Data from Audit Worksheet'!A69</f>
        <v>1050</v>
      </c>
      <c r="B60" s="223" t="str">
        <f>'Unit Data from Audit Worksheet'!C69</f>
        <v>General Fund-Rev, Exp. Change in Fund Balance</v>
      </c>
      <c r="C60" s="209" t="str">
        <f>'Unit Data from Audit Worksheet'!D69</f>
        <v>Amount expended for Powell Bill expenditures in the General Fund</v>
      </c>
      <c r="D60" s="134"/>
      <c r="E60" s="229">
        <f>'Unit Data from Audit Worksheet'!F69</f>
        <v>0</v>
      </c>
      <c r="F60" s="222"/>
      <c r="G60" s="224"/>
      <c r="H60" s="221"/>
      <c r="I60" s="32"/>
      <c r="J60" s="220">
        <v>1050</v>
      </c>
      <c r="K60" s="209" t="s">
        <v>1435</v>
      </c>
      <c r="L60" s="293">
        <f t="shared" si="7"/>
        <v>0</v>
      </c>
      <c r="M60"/>
      <c r="P60" s="203"/>
      <c r="Q60" s="277"/>
      <c r="X60" s="549"/>
      <c r="Y60" s="284"/>
      <c r="AA60" s="384">
        <f t="shared" si="0"/>
        <v>0</v>
      </c>
      <c r="AB60" s="284"/>
    </row>
    <row r="61" spans="1:28" ht="73.5" customHeight="1" x14ac:dyDescent="0.3">
      <c r="A61" s="210">
        <f>'Unit Data from Audit Worksheet'!A70</f>
        <v>17</v>
      </c>
      <c r="B61" s="223" t="str">
        <f>'Unit Data from Audit Worksheet'!C70</f>
        <v>General Fund-Rev, Exp. Change in Fund Balance</v>
      </c>
      <c r="C61" s="209" t="str">
        <f>'Unit Data from Audit Worksheet'!D70</f>
        <v>Total Transfers in    (Preference is that transfers-in  are not netted against transfers-out)</v>
      </c>
      <c r="D61" s="134"/>
      <c r="E61" s="229">
        <f>'Unit Data from Audit Worksheet'!F70</f>
        <v>0</v>
      </c>
      <c r="F61" s="222">
        <f t="shared" si="8"/>
        <v>0</v>
      </c>
      <c r="G61" s="224"/>
      <c r="H61" s="221"/>
      <c r="I61" s="32"/>
      <c r="J61" s="220">
        <v>17</v>
      </c>
      <c r="K61" s="219" t="s">
        <v>200</v>
      </c>
      <c r="L61" s="287">
        <f t="shared" si="7"/>
        <v>0</v>
      </c>
      <c r="P61" s="203"/>
      <c r="X61" s="549">
        <v>17</v>
      </c>
      <c r="Y61" s="284">
        <v>17</v>
      </c>
      <c r="AA61" s="384">
        <f t="shared" si="0"/>
        <v>0</v>
      </c>
      <c r="AB61" s="284">
        <f t="shared" si="1"/>
        <v>0</v>
      </c>
    </row>
    <row r="62" spans="1:28" ht="54.75" customHeight="1" x14ac:dyDescent="0.3">
      <c r="A62" s="210">
        <f>'Unit Data from Audit Worksheet'!A71</f>
        <v>20</v>
      </c>
      <c r="B62" s="223" t="str">
        <f>'Unit Data from Audit Worksheet'!C71</f>
        <v>General Fund-Rev, Exp. Change in Fund Balance</v>
      </c>
      <c r="C62" s="209" t="str">
        <f>'Unit Data from Audit Worksheet'!D71</f>
        <v>Total Transfers out    (Preference is that transfers-in  are not netted against transfers-out)</v>
      </c>
      <c r="D62" s="134"/>
      <c r="E62" s="229">
        <f>'Unit Data from Audit Worksheet'!F71</f>
        <v>0</v>
      </c>
      <c r="F62" s="222">
        <f t="shared" si="8"/>
        <v>0</v>
      </c>
      <c r="G62" s="224"/>
      <c r="H62" s="221"/>
      <c r="I62" s="32"/>
      <c r="J62" s="220">
        <v>20</v>
      </c>
      <c r="K62" s="219" t="s">
        <v>201</v>
      </c>
      <c r="L62" s="287">
        <f t="shared" si="7"/>
        <v>0</v>
      </c>
      <c r="P62" s="203"/>
      <c r="X62" s="549">
        <v>20</v>
      </c>
      <c r="Y62" s="284">
        <v>20</v>
      </c>
      <c r="AA62" s="384">
        <f t="shared" si="0"/>
        <v>0</v>
      </c>
      <c r="AB62" s="284">
        <f t="shared" si="1"/>
        <v>0</v>
      </c>
    </row>
    <row r="63" spans="1:28" ht="54.75" customHeight="1" x14ac:dyDescent="0.3">
      <c r="A63" s="210">
        <f>'Unit Data from Audit Worksheet'!A72</f>
        <v>533</v>
      </c>
      <c r="B63" s="223" t="str">
        <f>'Unit Data from Audit Worksheet'!C72</f>
        <v>General Fund-Rev, Exp. Change in Fund Balance</v>
      </c>
      <c r="C63" s="209" t="str">
        <f>'Unit Data from Audit Worksheet'!D72</f>
        <v>Total Proceeds from all long-term debt issuances 
Exclude proceeds from refundings</v>
      </c>
      <c r="D63" s="134"/>
      <c r="E63" s="229">
        <f>'Unit Data from Audit Worksheet'!F72</f>
        <v>0</v>
      </c>
      <c r="F63" s="222">
        <f t="shared" si="8"/>
        <v>0</v>
      </c>
      <c r="G63" s="224"/>
      <c r="H63" s="221"/>
      <c r="I63" s="32"/>
      <c r="J63" s="220">
        <v>533</v>
      </c>
      <c r="K63" s="305" t="s">
        <v>202</v>
      </c>
      <c r="L63" s="287">
        <f t="shared" si="7"/>
        <v>0</v>
      </c>
      <c r="P63" s="203"/>
      <c r="X63" s="549">
        <v>533</v>
      </c>
      <c r="Y63" s="284">
        <v>533</v>
      </c>
      <c r="AA63" s="384">
        <f t="shared" si="0"/>
        <v>0</v>
      </c>
      <c r="AB63" s="284">
        <f t="shared" si="1"/>
        <v>0</v>
      </c>
    </row>
    <row r="64" spans="1:28" ht="54.75" customHeight="1" x14ac:dyDescent="0.3">
      <c r="A64" s="210">
        <f>'Unit Data from Audit Worksheet'!A73</f>
        <v>508</v>
      </c>
      <c r="B64" s="223" t="str">
        <f>'Unit Data from Audit Worksheet'!C73</f>
        <v>General Fund-Rev, Exp. Change in Fund Balance</v>
      </c>
      <c r="C64" s="209" t="str">
        <f>'Unit Data from Audit Worksheet'!D73</f>
        <v>Debt Refunding - Net refunding proceeds against debt payoff and if positive place results on this line.</v>
      </c>
      <c r="D64" s="134"/>
      <c r="E64" s="229">
        <f>'Unit Data from Audit Worksheet'!F73</f>
        <v>0</v>
      </c>
      <c r="F64" s="222">
        <f t="shared" si="8"/>
        <v>0</v>
      </c>
      <c r="G64" s="224"/>
      <c r="H64" s="221"/>
      <c r="I64" s="32"/>
      <c r="J64" s="220">
        <v>508</v>
      </c>
      <c r="K64" s="219" t="s">
        <v>204</v>
      </c>
      <c r="L64" s="287">
        <f t="shared" si="7"/>
        <v>0</v>
      </c>
      <c r="N64" s="569"/>
      <c r="P64" s="196"/>
      <c r="X64" s="549">
        <v>508</v>
      </c>
      <c r="Y64" s="284">
        <v>508</v>
      </c>
      <c r="AA64" s="384">
        <f t="shared" si="0"/>
        <v>0</v>
      </c>
      <c r="AB64" s="284">
        <f t="shared" si="1"/>
        <v>0</v>
      </c>
    </row>
    <row r="65" spans="1:28" ht="54.75" customHeight="1" x14ac:dyDescent="0.3">
      <c r="A65" s="210">
        <f>'Unit Data from Audit Worksheet'!A74</f>
        <v>509</v>
      </c>
      <c r="B65" s="223" t="str">
        <f>'Unit Data from Audit Worksheet'!C74</f>
        <v>General Fund-Rev, Exp. Change in Fund Balance</v>
      </c>
      <c r="C65" s="209" t="str">
        <f>'Unit Data from Audit Worksheet'!D74</f>
        <v>Debt Refunding - Net refunding proceeds against debt payoff and if negative place results on this line.</v>
      </c>
      <c r="D65" s="134"/>
      <c r="E65" s="229">
        <f>'Unit Data from Audit Worksheet'!F74</f>
        <v>0</v>
      </c>
      <c r="F65" s="222">
        <f t="shared" si="8"/>
        <v>0</v>
      </c>
      <c r="G65" s="224"/>
      <c r="H65" s="221"/>
      <c r="I65" s="32"/>
      <c r="J65" s="220">
        <v>509</v>
      </c>
      <c r="K65" s="219" t="s">
        <v>205</v>
      </c>
      <c r="L65" s="287">
        <f>IF(D65="",E65,D65)</f>
        <v>0</v>
      </c>
      <c r="N65" s="570"/>
      <c r="P65" s="203"/>
      <c r="Q65" s="291"/>
      <c r="S65" s="290"/>
      <c r="T65" s="290"/>
      <c r="U65" s="290"/>
      <c r="V65" s="290"/>
      <c r="W65" s="18"/>
      <c r="X65" s="549">
        <v>509</v>
      </c>
      <c r="Y65" s="284">
        <v>509</v>
      </c>
      <c r="Z65" s="18"/>
      <c r="AA65" s="384">
        <f t="shared" si="0"/>
        <v>0</v>
      </c>
      <c r="AB65" s="284">
        <f t="shared" si="1"/>
        <v>0</v>
      </c>
    </row>
    <row r="66" spans="1:28" ht="84.75" customHeight="1" x14ac:dyDescent="0.3">
      <c r="A66" s="210">
        <f>'Unit Data from Audit Worksheet'!A75</f>
        <v>22</v>
      </c>
      <c r="B66" s="223" t="str">
        <f>'Unit Data from Audit Worksheet'!C75</f>
        <v>General Fund-Rev, Exp. Change in Fund Balance</v>
      </c>
      <c r="C66" s="209" t="str">
        <f>'Unit Data from Audit Worksheet'!D75</f>
        <v xml:space="preserve">All other items on this statement that were not included in total revenues, total expenditures, transfers in or out, or proceeds from long-term debt above.  </v>
      </c>
      <c r="D66" s="134"/>
      <c r="E66" s="229">
        <f>'Unit Data from Audit Worksheet'!F75</f>
        <v>0</v>
      </c>
      <c r="F66" s="222"/>
      <c r="G66" s="224"/>
      <c r="H66" s="221"/>
      <c r="I66" s="32"/>
      <c r="J66" s="220">
        <v>22</v>
      </c>
      <c r="K66" s="219" t="s">
        <v>203</v>
      </c>
      <c r="L66" s="287">
        <f t="shared" si="7"/>
        <v>0</v>
      </c>
      <c r="N66" s="570"/>
      <c r="P66" s="193"/>
      <c r="Q66" s="308"/>
      <c r="S66" s="307"/>
      <c r="T66" s="307"/>
      <c r="U66" s="307"/>
      <c r="V66" s="307"/>
      <c r="W66" s="307"/>
      <c r="X66" s="549">
        <v>22</v>
      </c>
      <c r="Y66" s="284">
        <v>22</v>
      </c>
      <c r="Z66" s="18"/>
      <c r="AA66" s="384">
        <f t="shared" si="0"/>
        <v>0</v>
      </c>
      <c r="AB66" s="284">
        <f t="shared" si="1"/>
        <v>0</v>
      </c>
    </row>
    <row r="67" spans="1:28" ht="74.25" customHeight="1" x14ac:dyDescent="0.3">
      <c r="A67" s="210">
        <f>'Unit Data from Audit Worksheet'!A76</f>
        <v>23</v>
      </c>
      <c r="B67" s="223" t="str">
        <f>'Unit Data from Audit Worksheet'!C76</f>
        <v>General Fund-Rev, Exp. Change in Fund Balance</v>
      </c>
      <c r="C67" s="209" t="str">
        <f>'Unit Data from Audit Worksheet'!D76</f>
        <v>Change in fund balance - (Increase in Fund balance is recorded as a positive and a decrease in fund balance is recorded as a negative)</v>
      </c>
      <c r="D67" s="134"/>
      <c r="E67" s="229">
        <f>'Unit Data from Audit Worksheet'!F76</f>
        <v>0</v>
      </c>
      <c r="F67" s="222">
        <f>IF(+L57-L59+L61-L62+L63+L64-L65+L66-L67=0,,"Error:Total revenues less toal Expenditures do not equal change in fund balance")</f>
        <v>0</v>
      </c>
      <c r="G67" s="84">
        <f>+L57-L59+L61-L62+L63+L66+L64-L65-L67</f>
        <v>0</v>
      </c>
      <c r="H67" s="221"/>
      <c r="I67" s="32"/>
      <c r="J67" s="220">
        <v>23</v>
      </c>
      <c r="K67" s="219" t="s">
        <v>206</v>
      </c>
      <c r="L67" s="287">
        <f t="shared" si="7"/>
        <v>0</v>
      </c>
      <c r="P67" s="193"/>
      <c r="X67" s="549">
        <v>23</v>
      </c>
      <c r="Y67" s="284">
        <v>23</v>
      </c>
      <c r="AA67" s="384">
        <f t="shared" si="0"/>
        <v>0</v>
      </c>
      <c r="AB67" s="284">
        <f t="shared" si="1"/>
        <v>0</v>
      </c>
    </row>
    <row r="68" spans="1:28" ht="123" customHeight="1" x14ac:dyDescent="0.3">
      <c r="A68" s="298">
        <f>'Unit Data from Audit Worksheet'!A78</f>
        <v>507</v>
      </c>
      <c r="B68" s="109" t="str">
        <f>'Unit Data from Audit Worksheet'!C78</f>
        <v>General Fund-Rev, Exp. Change in Fund Balance</v>
      </c>
      <c r="C68" s="204" t="str">
        <f>'Unit Data from Audit Worksheet'!D78</f>
        <v>Any adjustment to beginning fund balance including rounding, prior period adjustments and restatements.   (Amounts that increase fund balance are recorded as positive and amounts that decrease fund balance are recorded as negative)</v>
      </c>
      <c r="D68" s="102"/>
      <c r="E68" s="145">
        <f>'Unit Data from Audit Worksheet'!F78</f>
        <v>0</v>
      </c>
      <c r="F68" s="103" t="e">
        <f>IF(+L51-L67-L68=O51,,"Error: Beginning Fund Bal does not equal our records Accts 9-23-507= PY9")</f>
        <v>#N/A</v>
      </c>
      <c r="G68" s="114" t="e">
        <f>L51-L67-L68-O51</f>
        <v>#N/A</v>
      </c>
      <c r="H68" s="105" t="e">
        <f>'Unit Data from Audit Worksheet'!I78</f>
        <v>#N/A</v>
      </c>
      <c r="I68" s="32"/>
      <c r="J68" s="97">
        <v>507</v>
      </c>
      <c r="K68" s="38" t="s">
        <v>207</v>
      </c>
      <c r="L68" s="287">
        <f t="shared" si="7"/>
        <v>0</v>
      </c>
      <c r="N68" s="295"/>
      <c r="O68" s="294"/>
      <c r="P68" s="193"/>
      <c r="R68" s="384"/>
      <c r="S68" s="384"/>
      <c r="T68" s="384"/>
      <c r="U68" s="384"/>
      <c r="V68" s="384"/>
      <c r="W68" s="307"/>
      <c r="X68" s="549">
        <v>507</v>
      </c>
      <c r="Y68" s="284">
        <v>507</v>
      </c>
      <c r="Z68" s="384"/>
      <c r="AA68" s="384">
        <f t="shared" si="0"/>
        <v>0</v>
      </c>
      <c r="AB68" s="284">
        <f t="shared" si="1"/>
        <v>0</v>
      </c>
    </row>
    <row r="69" spans="1:28" s="18" customFormat="1" ht="40.5" customHeight="1" x14ac:dyDescent="0.3">
      <c r="A69" s="188">
        <f>'Unit Data from Audit Worksheet'!A79</f>
        <v>647</v>
      </c>
      <c r="B69" s="233" t="str">
        <f>'Unit Data from Audit Worksheet'!C79</f>
        <v>Debt Service Fund</v>
      </c>
      <c r="C69" s="188" t="str">
        <f>'Unit Data from Audit Worksheet'!D79</f>
        <v>Please enter the Total Fund Balance for any Debt Service Funds from the Budgeted to Actual statement</v>
      </c>
      <c r="D69" s="108"/>
      <c r="E69" s="232">
        <f>'Unit Data from Audit Worksheet'!F79</f>
        <v>0</v>
      </c>
      <c r="F69" s="217"/>
      <c r="G69" s="213"/>
      <c r="H69" s="217"/>
      <c r="I69" s="299"/>
      <c r="J69" s="216">
        <v>647</v>
      </c>
      <c r="K69" s="191" t="s">
        <v>792</v>
      </c>
      <c r="L69" s="300">
        <f>IF(D69="",E69,D69)</f>
        <v>0</v>
      </c>
      <c r="M69"/>
      <c r="N69" s="290"/>
      <c r="O69" s="306"/>
      <c r="P69" s="193"/>
      <c r="Q69" s="277"/>
      <c r="R69" s="3"/>
      <c r="S69" s="3"/>
      <c r="T69" s="3"/>
      <c r="U69" s="3"/>
      <c r="V69" s="3"/>
      <c r="W69" s="3"/>
      <c r="X69" s="549">
        <v>647</v>
      </c>
      <c r="Y69" s="284">
        <v>647</v>
      </c>
      <c r="Z69" s="3"/>
      <c r="AA69" s="384">
        <f t="shared" si="0"/>
        <v>0</v>
      </c>
      <c r="AB69" s="284">
        <f t="shared" si="1"/>
        <v>0</v>
      </c>
    </row>
    <row r="70" spans="1:28" ht="60" customHeight="1" x14ac:dyDescent="0.3">
      <c r="A70" s="285">
        <f>'Unit Data from Audit Worksheet'!A81</f>
        <v>171</v>
      </c>
      <c r="B70" s="48" t="str">
        <f>'Unit Data from Audit Worksheet'!C81</f>
        <v>Fund Statements - all Governmental Funds</v>
      </c>
      <c r="C70" s="286" t="str">
        <f>'Unit Data from Audit Worksheet'!D81</f>
        <v>Debt service expenditures from all governmental funds.  Include principal, interest paid, and debt issuance costs on long-term debt.</v>
      </c>
      <c r="D70" s="228"/>
      <c r="E70" s="142">
        <f>'Unit Data from Audit Worksheet'!F81</f>
        <v>0</v>
      </c>
      <c r="F70" s="41">
        <f>IF(L70&lt;0,"Error: Enter as a positive.",)</f>
        <v>0</v>
      </c>
      <c r="G70" s="65"/>
      <c r="H70" s="221"/>
      <c r="I70" s="32"/>
      <c r="J70" s="36">
        <v>171</v>
      </c>
      <c r="K70" s="45" t="s">
        <v>208</v>
      </c>
      <c r="L70" s="287">
        <f t="shared" si="7"/>
        <v>0</v>
      </c>
      <c r="P70" s="193"/>
      <c r="X70" s="549">
        <v>171</v>
      </c>
      <c r="Y70" s="284">
        <v>171</v>
      </c>
      <c r="AA70" s="384">
        <f t="shared" si="0"/>
        <v>0</v>
      </c>
      <c r="AB70" s="284">
        <f t="shared" si="1"/>
        <v>0</v>
      </c>
    </row>
    <row r="71" spans="1:28" ht="69" customHeight="1" x14ac:dyDescent="0.3">
      <c r="A71" s="210">
        <f>'Unit Data from Audit Worksheet'!A85</f>
        <v>596</v>
      </c>
      <c r="B71" s="223"/>
      <c r="C71" s="209" t="str">
        <f>'Unit Data from Audit Worksheet'!D85</f>
        <v>Indicate if your water/sewer system:
50 - Became Operational
51 - Ceased Operations
52 - No Change
Select from drop down.</v>
      </c>
      <c r="D71" s="134"/>
      <c r="E71" s="229">
        <f>'Unit Data from Audit Worksheet'!F85</f>
        <v>0</v>
      </c>
      <c r="F71" s="222"/>
      <c r="G71" s="222" t="str">
        <f>'Unit Data from Audit Worksheet'!G85</f>
        <v>Please do not answer this question unless the unit has a  water and/or sewer fund</v>
      </c>
      <c r="H71" s="221"/>
      <c r="I71" s="32"/>
      <c r="J71" s="220">
        <v>596</v>
      </c>
      <c r="K71" s="219" t="s">
        <v>333</v>
      </c>
      <c r="L71" s="287">
        <f t="shared" si="7"/>
        <v>0</v>
      </c>
      <c r="P71" s="194"/>
      <c r="X71" s="549">
        <v>596</v>
      </c>
      <c r="Y71" s="284">
        <v>596</v>
      </c>
      <c r="AA71" s="384">
        <f t="shared" si="0"/>
        <v>0</v>
      </c>
      <c r="AB71" s="284">
        <f t="shared" si="1"/>
        <v>0</v>
      </c>
    </row>
    <row r="72" spans="1:28" ht="82.2" customHeight="1" x14ac:dyDescent="0.3">
      <c r="A72" s="210">
        <f>'Unit Data from Audit Worksheet'!A86</f>
        <v>80</v>
      </c>
      <c r="B72" s="223" t="str">
        <f>'Unit Data from Audit Worksheet'!C86</f>
        <v>Water Sewer Net Position Statement</v>
      </c>
      <c r="C72" s="209" t="str">
        <f>'Unit Data from Audit Worksheet'!D86</f>
        <v>Unrestricted Cash and investments 
Exclude restricted cash and/or restricted investments.</v>
      </c>
      <c r="D72" s="134"/>
      <c r="E72" s="229">
        <f>'Unit Data from Audit Worksheet'!F86</f>
        <v>0</v>
      </c>
      <c r="F72" s="222">
        <f>IF(L72&lt;0,"Error: Number is normally positive.",)</f>
        <v>0</v>
      </c>
      <c r="G72" s="222" t="e">
        <f>'Unit Data from Audit Worksheet'!G86</f>
        <v>#N/A</v>
      </c>
      <c r="H72" s="221"/>
      <c r="I72" s="32"/>
      <c r="J72" s="220">
        <v>80</v>
      </c>
      <c r="K72" s="219" t="s">
        <v>209</v>
      </c>
      <c r="L72" s="287">
        <f t="shared" si="7"/>
        <v>0</v>
      </c>
      <c r="P72" s="194"/>
      <c r="X72" s="549">
        <v>80</v>
      </c>
      <c r="Y72" s="284">
        <v>80</v>
      </c>
      <c r="AA72" s="384">
        <f t="shared" ref="AA72:AA137" si="9">A72-J72</f>
        <v>0</v>
      </c>
      <c r="AB72" s="284">
        <f t="shared" ref="AB72:AB137" si="10">E72-L72</f>
        <v>0</v>
      </c>
    </row>
    <row r="73" spans="1:28" ht="43.2" x14ac:dyDescent="0.3">
      <c r="A73" s="210">
        <f>'Unit Data from Audit Worksheet'!A87</f>
        <v>81</v>
      </c>
      <c r="B73" s="223" t="str">
        <f>'Unit Data from Audit Worksheet'!C87</f>
        <v>Water Sewer Net Position Statement</v>
      </c>
      <c r="C73" s="209" t="str">
        <f>'Unit Data from Audit Worksheet'!D87</f>
        <v>Customer accounts receivable (net of allowance accounts). 
Include both billed and unbilled amounts.</v>
      </c>
      <c r="D73" s="134"/>
      <c r="E73" s="229">
        <f>'Unit Data from Audit Worksheet'!F87</f>
        <v>0</v>
      </c>
      <c r="F73" s="222">
        <f>IF(L73&lt;0,"Error: Number is normally positive.",)</f>
        <v>0</v>
      </c>
      <c r="G73" s="224"/>
      <c r="H73" s="221"/>
      <c r="I73" s="32"/>
      <c r="J73" s="220">
        <v>81</v>
      </c>
      <c r="K73" s="219" t="s">
        <v>210</v>
      </c>
      <c r="L73" s="287">
        <f t="shared" si="7"/>
        <v>0</v>
      </c>
      <c r="P73" s="194"/>
      <c r="X73" s="549">
        <v>81</v>
      </c>
      <c r="Y73" s="284">
        <v>81</v>
      </c>
      <c r="AA73" s="384">
        <f t="shared" si="9"/>
        <v>0</v>
      </c>
      <c r="AB73" s="284">
        <f t="shared" si="10"/>
        <v>0</v>
      </c>
    </row>
    <row r="74" spans="1:28" ht="68.25" customHeight="1" x14ac:dyDescent="0.3">
      <c r="A74" s="210">
        <f>'Unit Data from Audit Worksheet'!A88</f>
        <v>579</v>
      </c>
      <c r="B74" s="223" t="str">
        <f>'Unit Data from Audit Worksheet'!C88</f>
        <v>Water Sewer Net Position Statement</v>
      </c>
      <c r="C74" s="209" t="str">
        <f>'Unit Data from Audit Worksheet'!D88</f>
        <v>Water Sewer - Advance To:
Interfund loan receivable-portion of repayment plan longer than 12 months</v>
      </c>
      <c r="D74" s="134"/>
      <c r="E74" s="229">
        <f>'Unit Data from Audit Worksheet'!F88</f>
        <v>0</v>
      </c>
      <c r="F74" s="222"/>
      <c r="G74" s="224"/>
      <c r="H74" s="221"/>
      <c r="I74" s="32"/>
      <c r="J74" s="220">
        <v>579</v>
      </c>
      <c r="K74" s="219" t="s">
        <v>314</v>
      </c>
      <c r="L74" s="287">
        <f t="shared" si="7"/>
        <v>0</v>
      </c>
      <c r="N74" s="309"/>
      <c r="P74" s="194"/>
      <c r="X74" s="549">
        <v>579</v>
      </c>
      <c r="Y74" s="284">
        <v>579</v>
      </c>
      <c r="AA74" s="384">
        <f t="shared" si="9"/>
        <v>0</v>
      </c>
      <c r="AB74" s="284">
        <f t="shared" si="10"/>
        <v>0</v>
      </c>
    </row>
    <row r="75" spans="1:28" ht="47.25" customHeight="1" x14ac:dyDescent="0.3">
      <c r="A75" s="210">
        <f>'Unit Data from Audit Worksheet'!A89</f>
        <v>510</v>
      </c>
      <c r="B75" s="223" t="str">
        <f>'Unit Data from Audit Worksheet'!C89</f>
        <v>Water Sewer Net Position Statement</v>
      </c>
      <c r="C75" s="209" t="str">
        <f>'Unit Data from Audit Worksheet'!D89</f>
        <v>Amount of Inventories and Prepaid expenses in current assets</v>
      </c>
      <c r="D75" s="134"/>
      <c r="E75" s="229">
        <f>'Unit Data from Audit Worksheet'!F89</f>
        <v>0</v>
      </c>
      <c r="F75" s="222"/>
      <c r="G75" s="224"/>
      <c r="H75" s="221"/>
      <c r="I75" s="32"/>
      <c r="J75" s="220">
        <v>510</v>
      </c>
      <c r="K75" s="219" t="s">
        <v>211</v>
      </c>
      <c r="L75" s="287">
        <f t="shared" si="7"/>
        <v>0</v>
      </c>
      <c r="P75" s="194"/>
      <c r="X75" s="549">
        <v>510</v>
      </c>
      <c r="Y75" s="284">
        <v>510</v>
      </c>
      <c r="AA75" s="384">
        <f t="shared" si="9"/>
        <v>0</v>
      </c>
      <c r="AB75" s="284">
        <f t="shared" si="10"/>
        <v>0</v>
      </c>
    </row>
    <row r="76" spans="1:28" ht="43.2" x14ac:dyDescent="0.3">
      <c r="A76" s="210">
        <f>'Unit Data from Audit Worksheet'!A90</f>
        <v>654</v>
      </c>
      <c r="B76" s="223" t="str">
        <f>'Unit Data from Audit Worksheet'!C90</f>
        <v>Water Sewer Net Position Statement</v>
      </c>
      <c r="C76" s="209" t="str">
        <f>'Unit Data from Audit Worksheet'!D90</f>
        <v xml:space="preserve">Total Current assets as listed on the WS Net Position Statement.  
</v>
      </c>
      <c r="D76" s="134"/>
      <c r="E76" s="229">
        <f>'Unit Data from Audit Worksheet'!F90</f>
        <v>0</v>
      </c>
      <c r="F76" s="222">
        <f>IF((+L72+L73+L75)&gt;L76,"Please review components of current assets above Acct. (80+81+510&gt;654",)</f>
        <v>0</v>
      </c>
      <c r="G76" s="224"/>
      <c r="H76" s="221"/>
      <c r="I76" s="32"/>
      <c r="J76" s="220">
        <v>654</v>
      </c>
      <c r="K76" s="226" t="s">
        <v>413</v>
      </c>
      <c r="L76" s="287">
        <f t="shared" si="7"/>
        <v>0</v>
      </c>
      <c r="P76" s="194"/>
      <c r="X76" s="549">
        <v>654</v>
      </c>
      <c r="Y76" s="284">
        <v>654</v>
      </c>
      <c r="AA76" s="384">
        <f t="shared" si="9"/>
        <v>0</v>
      </c>
      <c r="AB76" s="284">
        <f t="shared" si="10"/>
        <v>0</v>
      </c>
    </row>
    <row r="77" spans="1:28" ht="43.2" x14ac:dyDescent="0.3">
      <c r="A77" s="210">
        <f>'Unit Data from Audit Worksheet'!A91</f>
        <v>655</v>
      </c>
      <c r="B77" s="223" t="str">
        <f>'Unit Data from Audit Worksheet'!C91</f>
        <v>Water Sewer Net Position Statement</v>
      </c>
      <c r="C77" s="209" t="str">
        <f>'Unit Data from Audit Worksheet'!D91</f>
        <v>WS-Any current assets that are restricted (Cash, Accounts Rec., etc..) and included in account 654 above</v>
      </c>
      <c r="D77" s="134"/>
      <c r="E77" s="229">
        <f>'Unit Data from Audit Worksheet'!F91</f>
        <v>0</v>
      </c>
      <c r="F77" s="222"/>
      <c r="G77" s="224"/>
      <c r="H77" s="221"/>
      <c r="I77" s="32"/>
      <c r="J77" s="220">
        <v>655</v>
      </c>
      <c r="K77" s="226" t="s">
        <v>445</v>
      </c>
      <c r="L77" s="287">
        <f t="shared" si="7"/>
        <v>0</v>
      </c>
      <c r="P77" s="194"/>
      <c r="X77" s="549">
        <v>655</v>
      </c>
      <c r="Y77" s="284">
        <v>655</v>
      </c>
      <c r="AA77" s="384">
        <f t="shared" si="9"/>
        <v>0</v>
      </c>
      <c r="AB77" s="284">
        <f t="shared" si="10"/>
        <v>0</v>
      </c>
    </row>
    <row r="78" spans="1:28" ht="42.75" customHeight="1" x14ac:dyDescent="0.3">
      <c r="A78" s="210">
        <f>'Unit Data from Audit Worksheet'!A92</f>
        <v>381</v>
      </c>
      <c r="B78" s="223" t="str">
        <f>'Unit Data from Audit Worksheet'!C92</f>
        <v>Water Sewer Net Position Statement</v>
      </c>
      <c r="C78" s="209" t="str">
        <f>'Unit Data from Audit Worksheet'!D92</f>
        <v>Total Assets and deferred outflows</v>
      </c>
      <c r="D78" s="134"/>
      <c r="E78" s="229">
        <f>'Unit Data from Audit Worksheet'!F92</f>
        <v>0</v>
      </c>
      <c r="F78" s="222" t="str">
        <f>IF(L78&lt;L76,"Please review components of current assets above acct. 381&lt;654"," ")</f>
        <v xml:space="preserve"> </v>
      </c>
      <c r="G78" s="224"/>
      <c r="H78" s="221"/>
      <c r="I78" s="32"/>
      <c r="J78" s="220">
        <v>381</v>
      </c>
      <c r="K78" s="219" t="s">
        <v>105</v>
      </c>
      <c r="L78" s="287">
        <f t="shared" si="7"/>
        <v>0</v>
      </c>
      <c r="P78" s="194"/>
      <c r="X78" s="549">
        <v>381</v>
      </c>
      <c r="Y78" s="284">
        <v>381</v>
      </c>
      <c r="AA78" s="384">
        <f t="shared" si="9"/>
        <v>0</v>
      </c>
      <c r="AB78" s="284">
        <f t="shared" si="10"/>
        <v>0</v>
      </c>
    </row>
    <row r="79" spans="1:28" ht="60.75" customHeight="1" x14ac:dyDescent="0.3">
      <c r="A79" s="298">
        <f>'Unit Data from Audit Worksheet'!A93</f>
        <v>578</v>
      </c>
      <c r="B79" s="109" t="str">
        <f>'Unit Data from Audit Worksheet'!C93</f>
        <v>Water Sewer Net Position Statement</v>
      </c>
      <c r="C79" s="289" t="str">
        <f>'Unit Data from Audit Worksheet'!D93</f>
        <v>Water Sewer - Advance From: 
Interfund loan Payable-portion of repayment plan longer than 12 months</v>
      </c>
      <c r="D79" s="102"/>
      <c r="E79" s="145">
        <f>'Unit Data from Audit Worksheet'!F93</f>
        <v>0</v>
      </c>
      <c r="F79" s="103"/>
      <c r="G79" s="104"/>
      <c r="H79" s="105"/>
      <c r="I79" s="32"/>
      <c r="J79" s="97">
        <v>578</v>
      </c>
      <c r="K79" s="38" t="s">
        <v>315</v>
      </c>
      <c r="L79" s="287">
        <f t="shared" si="7"/>
        <v>0</v>
      </c>
      <c r="P79" s="194"/>
      <c r="X79" s="549">
        <v>578</v>
      </c>
      <c r="Y79" s="284">
        <v>578</v>
      </c>
      <c r="AA79" s="384">
        <f t="shared" si="9"/>
        <v>0</v>
      </c>
      <c r="AB79" s="284">
        <f t="shared" si="10"/>
        <v>0</v>
      </c>
    </row>
    <row r="80" spans="1:28" s="18" customFormat="1" ht="169.95" customHeight="1" x14ac:dyDescent="0.3">
      <c r="A80" s="188">
        <v>633</v>
      </c>
      <c r="B80" s="233" t="str">
        <f>'Unit Data from Audit Worksheet'!C94</f>
        <v>Water Sewer Net Position Statement</v>
      </c>
      <c r="C80" s="188" t="str">
        <f>'Unit Data from Audit Worksheet'!D94</f>
        <v>Current liabilities (as reported on the Statement of Fund Net Position)
Include:   Current liabilities including current portion of long-term debt.  Deferred inflows should not be included in Current Liabilities  
Enter as positive</v>
      </c>
      <c r="D80" s="102"/>
      <c r="E80" s="659">
        <f>'Unit Data from Audit Worksheet'!F94</f>
        <v>0</v>
      </c>
      <c r="F80"/>
      <c r="G80"/>
      <c r="H80"/>
      <c r="I80" s="656"/>
      <c r="J80" s="216">
        <v>633</v>
      </c>
      <c r="K80" s="191" t="s">
        <v>371</v>
      </c>
      <c r="L80" s="300">
        <f>IF(D80="",E80,D80)</f>
        <v>0</v>
      </c>
      <c r="M80"/>
      <c r="N80" s="290"/>
      <c r="O80" s="290"/>
      <c r="P80" s="194"/>
      <c r="Q80" s="277"/>
      <c r="R80" s="3"/>
      <c r="X80" s="549">
        <v>633</v>
      </c>
      <c r="Y80" s="284">
        <v>633</v>
      </c>
      <c r="AA80" s="384">
        <f t="shared" si="9"/>
        <v>0</v>
      </c>
      <c r="AB80" s="284">
        <f t="shared" si="10"/>
        <v>0</v>
      </c>
    </row>
    <row r="81" spans="1:28" s="18" customFormat="1" ht="130.5" customHeight="1" x14ac:dyDescent="0.3">
      <c r="A81" s="188">
        <v>634</v>
      </c>
      <c r="B81" s="233" t="str">
        <f>'Unit Data from Audit Worksheet'!C95</f>
        <v>Water Sewer Net Position Statement</v>
      </c>
      <c r="C81" s="188" t="str">
        <f>'Unit Data from Audit Worksheet'!D95</f>
        <v>Please enter any bond anticipation notes that are classified as current liabilities and included in account 633 above (amounts entered should agree to the current amount included in the changes to long-term debt note)
Enter as positive</v>
      </c>
      <c r="D81" s="102"/>
      <c r="E81" s="232">
        <f>'Unit Data from Audit Worksheet'!F95</f>
        <v>0</v>
      </c>
      <c r="F81" s="658"/>
      <c r="G81" s="657"/>
      <c r="H81" s="658"/>
      <c r="I81" s="299"/>
      <c r="J81" s="216">
        <v>634</v>
      </c>
      <c r="K81" s="191" t="s">
        <v>372</v>
      </c>
      <c r="L81" s="300">
        <f>IF(D81="",E81,D81)</f>
        <v>0</v>
      </c>
      <c r="M81"/>
      <c r="N81" s="290"/>
      <c r="O81" s="290"/>
      <c r="P81" s="194"/>
      <c r="Q81" s="277"/>
      <c r="R81" s="3"/>
      <c r="X81" s="549">
        <v>634</v>
      </c>
      <c r="Y81" s="284">
        <v>634</v>
      </c>
      <c r="AA81" s="384">
        <f t="shared" si="9"/>
        <v>0</v>
      </c>
      <c r="AB81" s="284">
        <f t="shared" si="10"/>
        <v>0</v>
      </c>
    </row>
    <row r="82" spans="1:28" s="18" customFormat="1" ht="105.75" customHeight="1" x14ac:dyDescent="0.3">
      <c r="A82" s="188">
        <v>635</v>
      </c>
      <c r="B82" s="233" t="str">
        <f>'Unit Data from Audit Worksheet'!C96</f>
        <v>Water Sewer Net Position Statement</v>
      </c>
      <c r="C82" s="188" t="str">
        <f>'Unit Data from Audit Worksheet'!D96</f>
        <v>Please enter any compensated absences that are classified as current liabilities and included in account 633 above (amounts entered should agree to the current amount included in the changes to long-term debt note)
Enter as positive</v>
      </c>
      <c r="D82" s="102"/>
      <c r="E82" s="232">
        <f>'Unit Data from Audit Worksheet'!F96</f>
        <v>0</v>
      </c>
      <c r="F82" s="217"/>
      <c r="G82" s="205"/>
      <c r="H82" s="217"/>
      <c r="I82" s="299"/>
      <c r="J82" s="216">
        <v>635</v>
      </c>
      <c r="K82" s="191" t="s">
        <v>373</v>
      </c>
      <c r="L82" s="300">
        <f>IF(D82="",E82,D82)</f>
        <v>0</v>
      </c>
      <c r="M82"/>
      <c r="N82" s="290"/>
      <c r="O82" s="290"/>
      <c r="P82" s="194"/>
      <c r="Q82" s="277"/>
      <c r="R82" s="3"/>
      <c r="X82" s="549">
        <v>635</v>
      </c>
      <c r="Y82" s="284">
        <v>635</v>
      </c>
      <c r="AA82" s="384">
        <f t="shared" si="9"/>
        <v>0</v>
      </c>
      <c r="AB82" s="284">
        <f t="shared" si="10"/>
        <v>0</v>
      </c>
    </row>
    <row r="83" spans="1:28" s="18" customFormat="1" ht="105.75" customHeight="1" x14ac:dyDescent="0.3">
      <c r="A83" s="188">
        <v>636</v>
      </c>
      <c r="B83" s="233" t="str">
        <f>'Unit Data from Audit Worksheet'!C97</f>
        <v>Water Sewer Net Position Statement</v>
      </c>
      <c r="C83" s="188" t="str">
        <f>'Unit Data from Audit Worksheet'!D97</f>
        <v>Please enter any pension liabilities that are classified as current liabilities and included in account 633 above (amounts entered should agree to the current amount included in the changes to long-term debt note)
Enter as positive</v>
      </c>
      <c r="D83" s="102"/>
      <c r="E83" s="232">
        <f>'Unit Data from Audit Worksheet'!F97</f>
        <v>0</v>
      </c>
      <c r="F83" s="217"/>
      <c r="G83" s="205"/>
      <c r="H83" s="217"/>
      <c r="I83" s="299"/>
      <c r="J83" s="216">
        <v>636</v>
      </c>
      <c r="K83" s="191" t="s">
        <v>368</v>
      </c>
      <c r="L83" s="300">
        <f t="shared" ref="L83:L93" si="11">IF(D83="",E83,D83)</f>
        <v>0</v>
      </c>
      <c r="M83"/>
      <c r="N83" s="290"/>
      <c r="O83" s="290"/>
      <c r="P83" s="194"/>
      <c r="Q83" s="277"/>
      <c r="R83" s="3"/>
      <c r="X83" s="549">
        <v>636</v>
      </c>
      <c r="Y83" s="284">
        <v>636</v>
      </c>
      <c r="AA83" s="384">
        <f t="shared" si="9"/>
        <v>0</v>
      </c>
      <c r="AB83" s="284">
        <f t="shared" si="10"/>
        <v>0</v>
      </c>
    </row>
    <row r="84" spans="1:28" s="18" customFormat="1" ht="59.25" customHeight="1" x14ac:dyDescent="0.3">
      <c r="A84" s="188">
        <v>637</v>
      </c>
      <c r="B84" s="233" t="str">
        <f>'Unit Data from Audit Worksheet'!C98</f>
        <v>Water Sewer Net Position Statement</v>
      </c>
      <c r="C84" s="188" t="str">
        <f>'Unit Data from Audit Worksheet'!D98</f>
        <v>Please enter any current liabilities that are payable from restricted assets and included in account 633 above.
Enter as positive</v>
      </c>
      <c r="D84" s="102"/>
      <c r="E84" s="232">
        <f>'Unit Data from Audit Worksheet'!F98</f>
        <v>0</v>
      </c>
      <c r="F84" s="217"/>
      <c r="G84" s="205"/>
      <c r="H84" s="217"/>
      <c r="I84" s="299"/>
      <c r="J84" s="216">
        <v>637</v>
      </c>
      <c r="K84" s="191" t="s">
        <v>369</v>
      </c>
      <c r="L84" s="300">
        <f t="shared" si="11"/>
        <v>0</v>
      </c>
      <c r="M84"/>
      <c r="N84" s="290"/>
      <c r="O84" s="290"/>
      <c r="P84" s="197"/>
      <c r="Q84" s="277"/>
      <c r="R84" s="3"/>
      <c r="X84" s="549">
        <v>637</v>
      </c>
      <c r="Y84" s="284">
        <v>637</v>
      </c>
      <c r="AA84" s="384">
        <f t="shared" si="9"/>
        <v>0</v>
      </c>
      <c r="AB84" s="284">
        <f t="shared" si="10"/>
        <v>0</v>
      </c>
    </row>
    <row r="85" spans="1:28" s="18" customFormat="1" ht="115.95" customHeight="1" x14ac:dyDescent="0.3">
      <c r="A85" s="188">
        <v>638</v>
      </c>
      <c r="B85" s="233" t="str">
        <f>'Unit Data from Audit Worksheet'!C99</f>
        <v>Water Sewer Net Position Statement</v>
      </c>
      <c r="C85" s="188" t="str">
        <f>'Unit Data from Audit Worksheet'!D99</f>
        <v>Please enter any OPEB liabilities that are classified as current liabilities and included in account 633 above (amounts entered should agree to the current amount included in the changes to long-term debt note)
Enter as positive</v>
      </c>
      <c r="D85" s="102"/>
      <c r="E85" s="232">
        <f>'Unit Data from Audit Worksheet'!F99</f>
        <v>0</v>
      </c>
      <c r="F85" s="217"/>
      <c r="G85" s="205"/>
      <c r="H85" s="217"/>
      <c r="I85" s="299"/>
      <c r="J85" s="216">
        <v>638</v>
      </c>
      <c r="K85" s="191" t="s">
        <v>374</v>
      </c>
      <c r="L85" s="300">
        <f t="shared" si="11"/>
        <v>0</v>
      </c>
      <c r="M85"/>
      <c r="N85" s="290"/>
      <c r="O85" s="290"/>
      <c r="P85" s="194"/>
      <c r="Q85" s="277"/>
      <c r="R85" s="3"/>
      <c r="X85" s="549">
        <v>638</v>
      </c>
      <c r="Y85" s="284">
        <v>638</v>
      </c>
      <c r="AA85" s="384">
        <f t="shared" si="9"/>
        <v>0</v>
      </c>
      <c r="AB85" s="284">
        <f t="shared" si="10"/>
        <v>0</v>
      </c>
    </row>
    <row r="86" spans="1:28" ht="76.5" customHeight="1" x14ac:dyDescent="0.3">
      <c r="A86" s="285">
        <f>'Unit Data from Audit Worksheet'!A100</f>
        <v>383</v>
      </c>
      <c r="B86" s="48" t="str">
        <f>'Unit Data from Audit Worksheet'!C100</f>
        <v>Water Sewer Net Position Statement</v>
      </c>
      <c r="C86" s="286" t="str">
        <f>'Unit Data from Audit Worksheet'!D100</f>
        <v>Unearned revenue (arising from cash receipts) that were included in Current Liabilities in the question in account 633 above.
Enter as positive</v>
      </c>
      <c r="D86" s="134"/>
      <c r="E86" s="142">
        <f>'Unit Data from Audit Worksheet'!F100</f>
        <v>0</v>
      </c>
      <c r="F86" s="41">
        <f>IF(L86&lt;0,"Error: Enter as a positive.",)</f>
        <v>0</v>
      </c>
      <c r="G86" s="65"/>
      <c r="H86" s="221"/>
      <c r="I86" s="32"/>
      <c r="J86" s="36">
        <v>383</v>
      </c>
      <c r="K86" s="45" t="s">
        <v>212</v>
      </c>
      <c r="L86" s="287">
        <f t="shared" si="11"/>
        <v>0</v>
      </c>
      <c r="P86" s="194"/>
      <c r="X86" s="549">
        <v>383</v>
      </c>
      <c r="Y86" s="284">
        <v>383</v>
      </c>
      <c r="AA86" s="384">
        <f t="shared" si="9"/>
        <v>0</v>
      </c>
      <c r="AB86" s="284">
        <f t="shared" si="10"/>
        <v>0</v>
      </c>
    </row>
    <row r="87" spans="1:28" ht="54" customHeight="1" x14ac:dyDescent="0.3">
      <c r="A87" s="210">
        <f>'Unit Data from Audit Worksheet'!A101</f>
        <v>349</v>
      </c>
      <c r="B87" s="223" t="str">
        <f>'Unit Data from Audit Worksheet'!C101</f>
        <v>Water Sewer Net Position Statement</v>
      </c>
      <c r="C87" s="209" t="str">
        <f>'Unit Data from Audit Worksheet'!D101</f>
        <v>Total Liabilities and deferred inflows</v>
      </c>
      <c r="D87" s="134"/>
      <c r="E87" s="229">
        <f>'Unit Data from Audit Worksheet'!F101</f>
        <v>0</v>
      </c>
      <c r="F87" s="222">
        <f>IF(L80&gt;L87,"Error: Please review accts 633&gt;349",)</f>
        <v>0</v>
      </c>
      <c r="G87" s="224"/>
      <c r="H87" s="221"/>
      <c r="I87" s="32"/>
      <c r="J87" s="220">
        <v>349</v>
      </c>
      <c r="K87" s="219" t="s">
        <v>114</v>
      </c>
      <c r="L87" s="287">
        <f t="shared" si="11"/>
        <v>0</v>
      </c>
      <c r="P87" s="194"/>
      <c r="X87" s="549">
        <v>349</v>
      </c>
      <c r="Y87" s="284">
        <v>349</v>
      </c>
      <c r="AA87" s="384">
        <f t="shared" si="9"/>
        <v>0</v>
      </c>
      <c r="AB87" s="284">
        <f t="shared" si="10"/>
        <v>0</v>
      </c>
    </row>
    <row r="88" spans="1:28" ht="56.25" customHeight="1" x14ac:dyDescent="0.3">
      <c r="A88" s="210">
        <f>'Unit Data from Audit Worksheet'!A102</f>
        <v>375</v>
      </c>
      <c r="B88" s="223" t="str">
        <f>'Unit Data from Audit Worksheet'!C102</f>
        <v>Water Sewer Net Position Statement</v>
      </c>
      <c r="C88" s="209" t="str">
        <f>'Unit Data from Audit Worksheet'!D102</f>
        <v>Total Net position, Unrestricted - enter negative unrestricted net position as a negative</v>
      </c>
      <c r="D88" s="134"/>
      <c r="E88" s="229">
        <f>'Unit Data from Audit Worksheet'!F102</f>
        <v>0</v>
      </c>
      <c r="F88" s="222"/>
      <c r="G88" s="224"/>
      <c r="H88" s="221"/>
      <c r="I88" s="32"/>
      <c r="J88" s="220">
        <v>375</v>
      </c>
      <c r="K88" s="219" t="s">
        <v>213</v>
      </c>
      <c r="L88" s="287">
        <f t="shared" si="11"/>
        <v>0</v>
      </c>
      <c r="P88" s="194"/>
      <c r="X88" s="549">
        <v>375</v>
      </c>
      <c r="Y88" s="284">
        <v>375</v>
      </c>
      <c r="AA88" s="384">
        <f t="shared" si="9"/>
        <v>0</v>
      </c>
      <c r="AB88" s="284">
        <f t="shared" si="10"/>
        <v>0</v>
      </c>
    </row>
    <row r="89" spans="1:28" ht="56.25" customHeight="1" x14ac:dyDescent="0.3">
      <c r="A89" s="210">
        <f>'Unit Data from Audit Worksheet'!A103</f>
        <v>83</v>
      </c>
      <c r="B89" s="223" t="str">
        <f>'Unit Data from Audit Worksheet'!C103</f>
        <v>Water Sewer Net Position Statement</v>
      </c>
      <c r="C89" s="209" t="str">
        <f>'Unit Data from Audit Worksheet'!D103</f>
        <v>Total Net position</v>
      </c>
      <c r="D89" s="134"/>
      <c r="E89" s="229">
        <f>'Unit Data from Audit Worksheet'!F103</f>
        <v>0</v>
      </c>
      <c r="F89" s="222">
        <f>IF(+L78-L87-L89=0,,"Error: Total assets less total liabilities do not equal net position acct 381-349-83=0")</f>
        <v>0</v>
      </c>
      <c r="G89" s="84">
        <f>L78-L87-L89</f>
        <v>0</v>
      </c>
      <c r="H89" s="221"/>
      <c r="I89" s="32"/>
      <c r="J89" s="220">
        <v>83</v>
      </c>
      <c r="K89" s="219" t="s">
        <v>94</v>
      </c>
      <c r="L89" s="287">
        <f t="shared" si="11"/>
        <v>0</v>
      </c>
      <c r="O89" s="294" t="e">
        <f>'Unit Data from Audit Worksheet'!E103</f>
        <v>#N/A</v>
      </c>
      <c r="P89" s="194"/>
      <c r="Q89" s="225"/>
      <c r="X89" s="549">
        <v>83</v>
      </c>
      <c r="Y89" s="284">
        <v>83</v>
      </c>
      <c r="AA89" s="384">
        <f t="shared" si="9"/>
        <v>0</v>
      </c>
      <c r="AB89" s="284">
        <f t="shared" si="10"/>
        <v>0</v>
      </c>
    </row>
    <row r="90" spans="1:28" ht="56.25" customHeight="1" x14ac:dyDescent="0.3">
      <c r="A90" s="210">
        <f>'Unit Data from Audit Worksheet'!A105</f>
        <v>90</v>
      </c>
      <c r="B90" s="223" t="str">
        <f>'Unit Data from Audit Worksheet'!C105</f>
        <v>Electric Fund Net Position Statement</v>
      </c>
      <c r="C90" s="209" t="str">
        <f>'Unit Data from Audit Worksheet'!D105</f>
        <v>All Unrestricted Cash and Investments.  
Exclude any restricted cash and investments.</v>
      </c>
      <c r="D90" s="134"/>
      <c r="E90" s="229">
        <f>'Unit Data from Audit Worksheet'!F105</f>
        <v>0</v>
      </c>
      <c r="F90" s="222">
        <f>IF(L90&lt;0,"Error: Number is normally positive.",)</f>
        <v>0</v>
      </c>
      <c r="G90" s="224"/>
      <c r="H90" s="221"/>
      <c r="I90" s="32"/>
      <c r="J90" s="220">
        <v>90</v>
      </c>
      <c r="K90" s="219" t="s">
        <v>214</v>
      </c>
      <c r="L90" s="287">
        <f t="shared" si="11"/>
        <v>0</v>
      </c>
      <c r="P90" s="194"/>
      <c r="X90" s="549">
        <v>90</v>
      </c>
      <c r="Y90" s="284">
        <v>90</v>
      </c>
      <c r="AA90" s="384">
        <f t="shared" si="9"/>
        <v>0</v>
      </c>
      <c r="AB90" s="284">
        <f t="shared" si="10"/>
        <v>0</v>
      </c>
    </row>
    <row r="91" spans="1:28" ht="56.25" customHeight="1" x14ac:dyDescent="0.3">
      <c r="A91" s="210">
        <f>'Unit Data from Audit Worksheet'!A106</f>
        <v>91</v>
      </c>
      <c r="B91" s="223" t="str">
        <f>'Unit Data from Audit Worksheet'!C106</f>
        <v>Electric Fund Net Position Statement</v>
      </c>
      <c r="C91" s="209" t="str">
        <f>'Unit Data from Audit Worksheet'!D106</f>
        <v xml:space="preserve">Customer accounts receivable (net of allowance accounts)
Include billed and unbilled amounts </v>
      </c>
      <c r="D91" s="134"/>
      <c r="E91" s="229">
        <f>'Unit Data from Audit Worksheet'!F106</f>
        <v>0</v>
      </c>
      <c r="F91" s="222">
        <f>IF(L91&lt;0,"Error: Number is normally positive.",)</f>
        <v>0</v>
      </c>
      <c r="G91" s="224"/>
      <c r="H91" s="221"/>
      <c r="I91" s="32"/>
      <c r="J91" s="220">
        <v>91</v>
      </c>
      <c r="K91" s="219" t="s">
        <v>215</v>
      </c>
      <c r="L91" s="287">
        <f t="shared" si="11"/>
        <v>0</v>
      </c>
      <c r="P91" s="194"/>
      <c r="X91" s="549">
        <v>91</v>
      </c>
      <c r="Y91" s="284">
        <v>91</v>
      </c>
      <c r="AA91" s="384">
        <f t="shared" si="9"/>
        <v>0</v>
      </c>
      <c r="AB91" s="284">
        <f t="shared" si="10"/>
        <v>0</v>
      </c>
    </row>
    <row r="92" spans="1:28" ht="56.25" customHeight="1" x14ac:dyDescent="0.3">
      <c r="A92" s="210">
        <f>'Unit Data from Audit Worksheet'!A107</f>
        <v>581</v>
      </c>
      <c r="B92" s="223" t="str">
        <f>'Unit Data from Audit Worksheet'!C107</f>
        <v>Electric Fund Net Position Statement</v>
      </c>
      <c r="C92" s="209" t="str">
        <f>'Unit Data from Audit Worksheet'!D107</f>
        <v>Electric Fund - Advance To:
Interfund loan receivable-portion of repayment plan longer than 12 months</v>
      </c>
      <c r="D92" s="134"/>
      <c r="E92" s="229">
        <f>'Unit Data from Audit Worksheet'!F107</f>
        <v>0</v>
      </c>
      <c r="F92" s="222"/>
      <c r="G92" s="224"/>
      <c r="H92" s="221"/>
      <c r="I92" s="32"/>
      <c r="J92" s="220">
        <v>581</v>
      </c>
      <c r="K92" s="219" t="s">
        <v>316</v>
      </c>
      <c r="L92" s="287">
        <f t="shared" si="11"/>
        <v>0</v>
      </c>
      <c r="P92" s="194"/>
      <c r="X92" s="549">
        <v>581</v>
      </c>
      <c r="Y92" s="284">
        <v>581</v>
      </c>
      <c r="AA92" s="384">
        <f t="shared" si="9"/>
        <v>0</v>
      </c>
      <c r="AB92" s="284">
        <f t="shared" si="10"/>
        <v>0</v>
      </c>
    </row>
    <row r="93" spans="1:28" ht="56.25" customHeight="1" x14ac:dyDescent="0.3">
      <c r="A93" s="210">
        <f>'Unit Data from Audit Worksheet'!A108</f>
        <v>511</v>
      </c>
      <c r="B93" s="223" t="str">
        <f>'Unit Data from Audit Worksheet'!C108</f>
        <v>Electric Fund Net Position Statement</v>
      </c>
      <c r="C93" s="209" t="str">
        <f>'Unit Data from Audit Worksheet'!D108</f>
        <v>Amount of inventories and prepaids</v>
      </c>
      <c r="D93" s="134"/>
      <c r="E93" s="229">
        <f>'Unit Data from Audit Worksheet'!F108</f>
        <v>0</v>
      </c>
      <c r="F93" s="222">
        <f t="shared" ref="F93:F98" si="12">IF(L93&lt;0,"Error: Number is normally positive.",)</f>
        <v>0</v>
      </c>
      <c r="G93" s="224"/>
      <c r="H93" s="221"/>
      <c r="I93" s="32"/>
      <c r="J93" s="220">
        <v>511</v>
      </c>
      <c r="K93" s="219" t="s">
        <v>216</v>
      </c>
      <c r="L93" s="287">
        <f t="shared" si="11"/>
        <v>0</v>
      </c>
      <c r="P93" s="194"/>
      <c r="X93" s="549">
        <v>511</v>
      </c>
      <c r="Y93" s="284">
        <v>511</v>
      </c>
      <c r="AA93" s="384">
        <f t="shared" si="9"/>
        <v>0</v>
      </c>
      <c r="AB93" s="284">
        <f t="shared" si="10"/>
        <v>0</v>
      </c>
    </row>
    <row r="94" spans="1:28" ht="62.25" customHeight="1" x14ac:dyDescent="0.3">
      <c r="A94" s="210">
        <f>'Unit Data from Audit Worksheet'!A109</f>
        <v>657</v>
      </c>
      <c r="B94" s="223" t="str">
        <f>'Unit Data from Audit Worksheet'!C109</f>
        <v>Electric Fund Net Position Statement</v>
      </c>
      <c r="C94" s="209" t="str">
        <f>'Unit Data from Audit Worksheet'!D109</f>
        <v xml:space="preserve">Total Current assets as listed on the Electric Net Position Statement.  
</v>
      </c>
      <c r="D94" s="134"/>
      <c r="E94" s="229">
        <f>'Unit Data from Audit Worksheet'!F109</f>
        <v>0</v>
      </c>
      <c r="F94" s="222">
        <f t="shared" si="12"/>
        <v>0</v>
      </c>
      <c r="G94" s="224"/>
      <c r="H94" s="221"/>
      <c r="I94" s="32"/>
      <c r="J94" s="220">
        <v>657</v>
      </c>
      <c r="K94" s="219" t="s">
        <v>417</v>
      </c>
      <c r="L94" s="300">
        <f>IF(D94="",E94,D94)</f>
        <v>0</v>
      </c>
      <c r="P94" s="194"/>
      <c r="X94" s="549">
        <v>657</v>
      </c>
      <c r="Y94" s="284">
        <v>657</v>
      </c>
      <c r="AA94" s="384">
        <f t="shared" si="9"/>
        <v>0</v>
      </c>
      <c r="AB94" s="284">
        <f t="shared" si="10"/>
        <v>0</v>
      </c>
    </row>
    <row r="95" spans="1:28" ht="62.25" customHeight="1" x14ac:dyDescent="0.3">
      <c r="A95" s="210">
        <f>'Unit Data from Audit Worksheet'!A110</f>
        <v>658</v>
      </c>
      <c r="B95" s="223" t="str">
        <f>'Unit Data from Audit Worksheet'!C110</f>
        <v>Electric Fund Net Position Statement</v>
      </c>
      <c r="C95" s="209" t="str">
        <f>'Unit Data from Audit Worksheet'!D110</f>
        <v>Electric-Any current assets that are restricted (Cash, Accounts Rec., etc..) and included in account 657 above</v>
      </c>
      <c r="D95" s="134"/>
      <c r="E95" s="229">
        <f>'Unit Data from Audit Worksheet'!F110</f>
        <v>0</v>
      </c>
      <c r="F95" s="222">
        <f t="shared" si="12"/>
        <v>0</v>
      </c>
      <c r="G95" s="224"/>
      <c r="H95" s="221"/>
      <c r="I95" s="32"/>
      <c r="J95" s="220">
        <v>658</v>
      </c>
      <c r="K95" s="219" t="s">
        <v>444</v>
      </c>
      <c r="L95" s="300">
        <f>IF(D95="",E95,D95)</f>
        <v>0</v>
      </c>
      <c r="P95" s="194"/>
      <c r="X95" s="549">
        <v>658</v>
      </c>
      <c r="Y95" s="284">
        <v>658</v>
      </c>
      <c r="AA95" s="384">
        <f t="shared" si="9"/>
        <v>0</v>
      </c>
      <c r="AB95" s="284">
        <f t="shared" si="10"/>
        <v>0</v>
      </c>
    </row>
    <row r="96" spans="1:28" ht="39.75" customHeight="1" x14ac:dyDescent="0.3">
      <c r="A96" s="210">
        <f>'Unit Data from Audit Worksheet'!A111</f>
        <v>382</v>
      </c>
      <c r="B96" s="223" t="str">
        <f>'Unit Data from Audit Worksheet'!C111</f>
        <v>Electric Fund Net Position Statement</v>
      </c>
      <c r="C96" s="209" t="str">
        <f>'Unit Data from Audit Worksheet'!D111</f>
        <v>Total Assets and deferred outflows</v>
      </c>
      <c r="D96" s="134"/>
      <c r="E96" s="229">
        <f>'Unit Data from Audit Worksheet'!F111</f>
        <v>0</v>
      </c>
      <c r="F96" s="222">
        <f t="shared" si="12"/>
        <v>0</v>
      </c>
      <c r="G96" s="224"/>
      <c r="H96" s="221"/>
      <c r="I96" s="32"/>
      <c r="J96" s="220">
        <v>382</v>
      </c>
      <c r="K96" s="219" t="s">
        <v>106</v>
      </c>
      <c r="L96" s="287">
        <f>IF(D96="",E96,D96)</f>
        <v>0</v>
      </c>
      <c r="P96" s="194"/>
      <c r="X96" s="549">
        <v>382</v>
      </c>
      <c r="Y96" s="284">
        <v>382</v>
      </c>
      <c r="AA96" s="384">
        <f t="shared" si="9"/>
        <v>0</v>
      </c>
      <c r="AB96" s="284">
        <f t="shared" si="10"/>
        <v>0</v>
      </c>
    </row>
    <row r="97" spans="1:28" ht="39.75" customHeight="1" x14ac:dyDescent="0.3">
      <c r="A97" s="210">
        <f>'Unit Data from Audit Worksheet'!A112</f>
        <v>360</v>
      </c>
      <c r="B97" s="223" t="str">
        <f>'Unit Data from Audit Worksheet'!C112</f>
        <v>Electric Fund Net Position Statement</v>
      </c>
      <c r="C97" s="209" t="str">
        <f>'Unit Data from Audit Worksheet'!D112</f>
        <v>Total liabilities and total deferred inflows</v>
      </c>
      <c r="D97" s="134"/>
      <c r="E97" s="229">
        <f>'Unit Data from Audit Worksheet'!F112</f>
        <v>0</v>
      </c>
      <c r="F97" s="222">
        <f t="shared" si="12"/>
        <v>0</v>
      </c>
      <c r="G97" s="224"/>
      <c r="H97" s="221"/>
      <c r="I97" s="32"/>
      <c r="J97" s="220">
        <v>360</v>
      </c>
      <c r="K97" s="101" t="s">
        <v>117</v>
      </c>
      <c r="L97" s="287">
        <f>IF(D97="",E97,D97)</f>
        <v>0</v>
      </c>
      <c r="P97" s="194"/>
      <c r="X97" s="549">
        <v>360</v>
      </c>
      <c r="Y97" s="284">
        <v>360</v>
      </c>
      <c r="AA97" s="384">
        <f t="shared" si="9"/>
        <v>0</v>
      </c>
      <c r="AB97" s="284">
        <f t="shared" si="10"/>
        <v>0</v>
      </c>
    </row>
    <row r="98" spans="1:28" ht="58.5" customHeight="1" x14ac:dyDescent="0.3">
      <c r="A98" s="210">
        <f>'Unit Data from Audit Worksheet'!A113</f>
        <v>580</v>
      </c>
      <c r="B98" s="223" t="str">
        <f>'Unit Data from Audit Worksheet'!C113</f>
        <v>Electric Fund Net Position Statement</v>
      </c>
      <c r="C98" s="209" t="str">
        <f>'Unit Data from Audit Worksheet'!D113</f>
        <v>Electric Fund - Advance From:
Interfund loans payable-portion of repayment plan longer than 12 months</v>
      </c>
      <c r="D98" s="134"/>
      <c r="E98" s="229">
        <f>'Unit Data from Audit Worksheet'!F113</f>
        <v>0</v>
      </c>
      <c r="F98" s="103">
        <f t="shared" si="12"/>
        <v>0</v>
      </c>
      <c r="G98" s="104"/>
      <c r="H98" s="105"/>
      <c r="I98" s="32"/>
      <c r="J98" s="220">
        <v>580</v>
      </c>
      <c r="K98" s="101" t="s">
        <v>317</v>
      </c>
      <c r="L98" s="287">
        <f>IF(D98="",E98,D98)</f>
        <v>0</v>
      </c>
      <c r="N98" s="295"/>
      <c r="P98" s="198"/>
      <c r="X98" s="549">
        <v>580</v>
      </c>
      <c r="Y98" s="284">
        <v>580</v>
      </c>
      <c r="AA98" s="384">
        <f t="shared" si="9"/>
        <v>0</v>
      </c>
      <c r="AB98" s="284">
        <f t="shared" si="10"/>
        <v>0</v>
      </c>
    </row>
    <row r="99" spans="1:28" s="18" customFormat="1" ht="128.4" customHeight="1" x14ac:dyDescent="0.3">
      <c r="A99" s="210">
        <f>'Unit Data from Audit Worksheet'!A114</f>
        <v>639</v>
      </c>
      <c r="B99" s="223" t="str">
        <f>'Unit Data from Audit Worksheet'!C114</f>
        <v>Electric Fund Net Position Statement</v>
      </c>
      <c r="C99" s="209" t="str">
        <f>'Unit Data from Audit Worksheet'!D114</f>
        <v>Current liabilities (as reported on the Statement of Fund Net Position)
Include:   Current liabilities including current portion of long-term debt.  Deferred inflows should not be included in Current Liabilities   
Enter as a positive</v>
      </c>
      <c r="D99" s="134"/>
      <c r="E99" s="660">
        <f>'Unit Data from Audit Worksheet'!F114</f>
        <v>0</v>
      </c>
      <c r="F99"/>
      <c r="G99"/>
      <c r="H99"/>
      <c r="I99" s="32"/>
      <c r="J99" s="220">
        <v>639</v>
      </c>
      <c r="K99" s="219" t="s">
        <v>375</v>
      </c>
      <c r="L99" s="300">
        <f t="shared" ref="L99:L123" si="13">IF(D99="",E99,D99)</f>
        <v>0</v>
      </c>
      <c r="M99"/>
      <c r="P99" s="194"/>
      <c r="Q99" s="277"/>
      <c r="R99" s="3"/>
      <c r="S99" s="3"/>
      <c r="T99" s="3"/>
      <c r="U99" s="3"/>
      <c r="V99" s="3"/>
      <c r="W99" s="3"/>
      <c r="X99" s="549">
        <v>639</v>
      </c>
      <c r="Y99" s="284">
        <v>639</v>
      </c>
      <c r="Z99" s="3"/>
      <c r="AA99" s="384">
        <f t="shared" si="9"/>
        <v>0</v>
      </c>
      <c r="AB99" s="284">
        <f t="shared" si="10"/>
        <v>0</v>
      </c>
    </row>
    <row r="100" spans="1:28" s="18" customFormat="1" ht="132" customHeight="1" x14ac:dyDescent="0.3">
      <c r="A100" s="210">
        <f>'Unit Data from Audit Worksheet'!A115</f>
        <v>640</v>
      </c>
      <c r="B100" s="223" t="str">
        <f>'Unit Data from Audit Worksheet'!C115</f>
        <v>Electric Fund Net Position Statement</v>
      </c>
      <c r="C100" s="209" t="str">
        <f>'Unit Data from Audit Worksheet'!D115</f>
        <v>Please enter any bond anticipation notes that are classified as current liabilities and included in account 639 above (amounts entered should agree to the current amount included in the changes to long-term debt note)
Enter as a positive</v>
      </c>
      <c r="D100" s="134"/>
      <c r="E100" s="229">
        <f>'Unit Data from Audit Worksheet'!F115</f>
        <v>0</v>
      </c>
      <c r="F100" s="41">
        <f t="shared" ref="F100:F105" si="14">IF(L100&lt;0,"Error: Number is normally positive.",)</f>
        <v>0</v>
      </c>
      <c r="G100" s="65"/>
      <c r="H100" s="221"/>
      <c r="I100" s="32"/>
      <c r="J100" s="220">
        <v>640</v>
      </c>
      <c r="K100" s="219" t="s">
        <v>376</v>
      </c>
      <c r="L100" s="300">
        <f t="shared" si="13"/>
        <v>0</v>
      </c>
      <c r="M100"/>
      <c r="P100" s="194"/>
      <c r="Q100" s="277"/>
      <c r="R100" s="3"/>
      <c r="S100" s="3"/>
      <c r="T100" s="3"/>
      <c r="U100" s="3"/>
      <c r="V100" s="3"/>
      <c r="W100" s="3"/>
      <c r="X100" s="549">
        <v>640</v>
      </c>
      <c r="Y100" s="284">
        <v>640</v>
      </c>
      <c r="Z100" s="3"/>
      <c r="AA100" s="384">
        <f t="shared" si="9"/>
        <v>0</v>
      </c>
      <c r="AB100" s="284">
        <f t="shared" si="10"/>
        <v>0</v>
      </c>
    </row>
    <row r="101" spans="1:28" s="18" customFormat="1" ht="128.4" customHeight="1" x14ac:dyDescent="0.3">
      <c r="A101" s="210">
        <f>'Unit Data from Audit Worksheet'!A116</f>
        <v>641</v>
      </c>
      <c r="B101" s="223" t="str">
        <f>'Unit Data from Audit Worksheet'!C116</f>
        <v>Electric Fund Net Position Statement</v>
      </c>
      <c r="C101" s="209" t="str">
        <f>'Unit Data from Audit Worksheet'!D116</f>
        <v>Please enter any compensated absences that are classified as current liabilities and included in account 639 above (amounts entered should agree to the current amount included in the changes to long-term debt note)
Enter as a positive</v>
      </c>
      <c r="D101" s="134"/>
      <c r="E101" s="229">
        <f>'Unit Data from Audit Worksheet'!F116</f>
        <v>0</v>
      </c>
      <c r="F101" s="222">
        <f t="shared" si="14"/>
        <v>0</v>
      </c>
      <c r="G101" s="224"/>
      <c r="H101" s="221"/>
      <c r="I101" s="32"/>
      <c r="J101" s="220">
        <v>641</v>
      </c>
      <c r="K101" s="219" t="s">
        <v>377</v>
      </c>
      <c r="L101" s="300">
        <f t="shared" si="13"/>
        <v>0</v>
      </c>
      <c r="M101"/>
      <c r="P101" s="199"/>
      <c r="Q101" s="277"/>
      <c r="R101" s="3"/>
      <c r="S101" s="3"/>
      <c r="T101" s="3"/>
      <c r="U101" s="3"/>
      <c r="V101" s="3"/>
      <c r="W101" s="3"/>
      <c r="X101" s="549">
        <v>641</v>
      </c>
      <c r="Y101" s="284">
        <v>641</v>
      </c>
      <c r="Z101" s="3"/>
      <c r="AA101" s="384">
        <f t="shared" si="9"/>
        <v>0</v>
      </c>
      <c r="AB101" s="284">
        <f t="shared" si="10"/>
        <v>0</v>
      </c>
    </row>
    <row r="102" spans="1:28" s="18" customFormat="1" ht="104.25" customHeight="1" x14ac:dyDescent="0.3">
      <c r="A102" s="210">
        <f>'Unit Data from Audit Worksheet'!A117</f>
        <v>642</v>
      </c>
      <c r="B102" s="223" t="str">
        <f>'Unit Data from Audit Worksheet'!C117</f>
        <v>Electric Fund Net Position Statement</v>
      </c>
      <c r="C102" s="209" t="str">
        <f>'Unit Data from Audit Worksheet'!D117</f>
        <v>Please enter any pension liabilities that are classified as current liabilities and included account in 639 above (amounts entered should agree to the current amount included in the changes to long-term debt note)
Enter as a positive</v>
      </c>
      <c r="D102" s="134"/>
      <c r="E102" s="229">
        <f>'Unit Data from Audit Worksheet'!F117</f>
        <v>0</v>
      </c>
      <c r="F102" s="222">
        <f t="shared" si="14"/>
        <v>0</v>
      </c>
      <c r="G102" s="224"/>
      <c r="H102" s="221"/>
      <c r="I102" s="32"/>
      <c r="J102" s="220">
        <v>642</v>
      </c>
      <c r="K102" s="219" t="s">
        <v>378</v>
      </c>
      <c r="L102" s="300">
        <f t="shared" si="13"/>
        <v>0</v>
      </c>
      <c r="M102"/>
      <c r="P102" s="199"/>
      <c r="Q102" s="277"/>
      <c r="R102" s="3"/>
      <c r="S102" s="3"/>
      <c r="T102" s="3"/>
      <c r="U102" s="3"/>
      <c r="V102" s="3"/>
      <c r="W102" s="3"/>
      <c r="X102" s="549">
        <v>642</v>
      </c>
      <c r="Y102" s="284">
        <v>642</v>
      </c>
      <c r="Z102" s="3"/>
      <c r="AA102" s="384">
        <f t="shared" si="9"/>
        <v>0</v>
      </c>
      <c r="AB102" s="284">
        <f t="shared" si="10"/>
        <v>0</v>
      </c>
    </row>
    <row r="103" spans="1:28" s="18" customFormat="1" ht="97.95" customHeight="1" x14ac:dyDescent="0.3">
      <c r="A103" s="210">
        <f>'Unit Data from Audit Worksheet'!A118</f>
        <v>643</v>
      </c>
      <c r="B103" s="223" t="str">
        <f>'Unit Data from Audit Worksheet'!C118</f>
        <v>Electric Fund Net Position Statement</v>
      </c>
      <c r="C103" s="209" t="str">
        <f>'Unit Data from Audit Worksheet'!D118</f>
        <v>Please enter any current liabilities that are payable from restricted assets and included in account 639 above. 
Enter as a positive</v>
      </c>
      <c r="D103" s="134"/>
      <c r="E103" s="229">
        <f>'Unit Data from Audit Worksheet'!F118</f>
        <v>0</v>
      </c>
      <c r="F103" s="222">
        <f t="shared" si="14"/>
        <v>0</v>
      </c>
      <c r="G103" s="224"/>
      <c r="H103" s="221"/>
      <c r="I103" s="32"/>
      <c r="J103" s="220">
        <v>643</v>
      </c>
      <c r="K103" s="219" t="s">
        <v>379</v>
      </c>
      <c r="L103" s="300">
        <f t="shared" si="13"/>
        <v>0</v>
      </c>
      <c r="M103"/>
      <c r="P103" s="194"/>
      <c r="Q103" s="277"/>
      <c r="R103" s="3"/>
      <c r="S103" s="3"/>
      <c r="T103" s="3"/>
      <c r="U103" s="3"/>
      <c r="V103" s="3"/>
      <c r="W103" s="3"/>
      <c r="X103" s="549">
        <v>643</v>
      </c>
      <c r="Y103" s="284">
        <v>643</v>
      </c>
      <c r="Z103" s="3"/>
      <c r="AA103" s="384">
        <f t="shared" si="9"/>
        <v>0</v>
      </c>
      <c r="AB103" s="284">
        <f t="shared" si="10"/>
        <v>0</v>
      </c>
    </row>
    <row r="104" spans="1:28" s="18" customFormat="1" ht="102" customHeight="1" x14ac:dyDescent="0.3">
      <c r="A104" s="210">
        <f>'Unit Data from Audit Worksheet'!A119</f>
        <v>644</v>
      </c>
      <c r="B104" s="223" t="str">
        <f>'Unit Data from Audit Worksheet'!C119</f>
        <v>Electric Fund Net Position Statement</v>
      </c>
      <c r="C104" s="209" t="str">
        <f>'Unit Data from Audit Worksheet'!D119</f>
        <v>Please enter any OPEB liabilities that are classified as current liabilities and included in account 639 above (amounts entered should agree to the current amount included in the changes to long-term debt note)
Enter as a positive</v>
      </c>
      <c r="D104" s="134"/>
      <c r="E104" s="229">
        <f>'Unit Data from Audit Worksheet'!F119</f>
        <v>0</v>
      </c>
      <c r="F104" s="222">
        <f t="shared" si="14"/>
        <v>0</v>
      </c>
      <c r="G104" s="224"/>
      <c r="H104" s="221"/>
      <c r="I104" s="32"/>
      <c r="J104" s="182">
        <v>644</v>
      </c>
      <c r="K104" s="219" t="s">
        <v>380</v>
      </c>
      <c r="L104" s="300">
        <f t="shared" si="13"/>
        <v>0</v>
      </c>
      <c r="M104"/>
      <c r="P104" s="194"/>
      <c r="Q104" s="277"/>
      <c r="R104" s="3"/>
      <c r="S104" s="3"/>
      <c r="T104" s="3"/>
      <c r="U104" s="3"/>
      <c r="V104" s="3"/>
      <c r="W104" s="3"/>
      <c r="X104" s="549">
        <v>644</v>
      </c>
      <c r="Y104" s="284">
        <v>644</v>
      </c>
      <c r="Z104" s="3"/>
      <c r="AA104" s="384">
        <f t="shared" si="9"/>
        <v>0</v>
      </c>
      <c r="AB104" s="284">
        <f t="shared" si="10"/>
        <v>0</v>
      </c>
    </row>
    <row r="105" spans="1:28" ht="96" customHeight="1" x14ac:dyDescent="0.3">
      <c r="A105" s="210">
        <f>+'Unit Data from Audit Worksheet'!A120</f>
        <v>384</v>
      </c>
      <c r="B105" s="210" t="str">
        <f>+'Unit Data from Audit Worksheet'!C120</f>
        <v>Electric Fund Net Position Statement</v>
      </c>
      <c r="C105" s="210" t="str">
        <f>+'Unit Data from Audit Worksheet'!D120</f>
        <v>Unearned revenue (arising from cash receipts) that were included in Current Liabilities in account 639 above.
Enter as a positive</v>
      </c>
      <c r="D105" s="134"/>
      <c r="E105" s="229">
        <f>+'Unit Data from Audit Worksheet'!F120</f>
        <v>0</v>
      </c>
      <c r="F105" s="222">
        <f t="shared" si="14"/>
        <v>0</v>
      </c>
      <c r="G105" s="224"/>
      <c r="H105" s="221"/>
      <c r="I105" s="32"/>
      <c r="J105" s="220">
        <v>384</v>
      </c>
      <c r="K105" s="52" t="s">
        <v>116</v>
      </c>
      <c r="L105" s="287">
        <f t="shared" si="13"/>
        <v>0</v>
      </c>
      <c r="P105" s="194"/>
      <c r="X105" s="549">
        <v>384</v>
      </c>
      <c r="Y105" s="284">
        <v>384</v>
      </c>
      <c r="AA105" s="384">
        <f t="shared" si="9"/>
        <v>0</v>
      </c>
      <c r="AB105" s="284">
        <f t="shared" si="10"/>
        <v>0</v>
      </c>
    </row>
    <row r="106" spans="1:28" ht="72" x14ac:dyDescent="0.3">
      <c r="A106" s="210">
        <f>+'Unit Data from Audit Worksheet'!A121</f>
        <v>361</v>
      </c>
      <c r="B106" s="210" t="str">
        <f>+'Unit Data from Audit Worksheet'!C121</f>
        <v>Electric Fund Net Position Statement</v>
      </c>
      <c r="C106" s="210" t="str">
        <f>+'Unit Data from Audit Worksheet'!D121</f>
        <v>Total net position, unrestricted - Amount of negative unrestricted net position should be entered as a negative amount and the amount of positive unrestricted net position should be entered as a positive amount.</v>
      </c>
      <c r="D106" s="134"/>
      <c r="E106" s="229">
        <f>+'Unit Data from Audit Worksheet'!F121</f>
        <v>0</v>
      </c>
      <c r="F106" s="222"/>
      <c r="G106" s="224"/>
      <c r="H106" s="221"/>
      <c r="I106" s="32"/>
      <c r="J106" s="220">
        <v>361</v>
      </c>
      <c r="K106" s="219" t="s">
        <v>98</v>
      </c>
      <c r="L106" s="287">
        <f t="shared" si="13"/>
        <v>0</v>
      </c>
      <c r="P106" s="194"/>
      <c r="X106" s="549">
        <v>361</v>
      </c>
      <c r="Y106" s="284">
        <v>361</v>
      </c>
      <c r="AA106" s="384">
        <f t="shared" si="9"/>
        <v>0</v>
      </c>
      <c r="AB106" s="284">
        <f t="shared" si="10"/>
        <v>0</v>
      </c>
    </row>
    <row r="107" spans="1:28" ht="46.5" customHeight="1" x14ac:dyDescent="0.3">
      <c r="A107" s="210">
        <f>'Unit Data from Audit Worksheet'!A122</f>
        <v>362</v>
      </c>
      <c r="B107" s="223" t="str">
        <f>'Unit Data from Audit Worksheet'!C122</f>
        <v>Electric Fund Net Position Statement</v>
      </c>
      <c r="C107" s="209" t="str">
        <f>'Unit Data from Audit Worksheet'!D122</f>
        <v>Total net position</v>
      </c>
      <c r="D107" s="134"/>
      <c r="E107" s="229">
        <f>'Unit Data from Audit Worksheet'!F122</f>
        <v>0</v>
      </c>
      <c r="F107" s="222">
        <f>IF(L96-L97-L107=0,,"Error: Total assets less total liabilities do not equal net position acct 382-360-362=0")</f>
        <v>0</v>
      </c>
      <c r="G107" s="84">
        <f>+L96-L97-L107</f>
        <v>0</v>
      </c>
      <c r="H107" s="221"/>
      <c r="I107" s="32"/>
      <c r="J107" s="220">
        <v>362</v>
      </c>
      <c r="K107" s="219" t="s">
        <v>99</v>
      </c>
      <c r="L107" s="287">
        <f t="shared" si="13"/>
        <v>0</v>
      </c>
      <c r="O107" s="294" t="e">
        <f>'Unit Data from Audit Worksheet'!E122</f>
        <v>#N/A</v>
      </c>
      <c r="P107" s="194"/>
      <c r="X107" s="549">
        <v>362</v>
      </c>
      <c r="Y107" s="284">
        <v>362</v>
      </c>
      <c r="AA107" s="384">
        <f t="shared" si="9"/>
        <v>0</v>
      </c>
      <c r="AB107" s="284">
        <f t="shared" si="10"/>
        <v>0</v>
      </c>
    </row>
    <row r="108" spans="1:28" ht="61.5" customHeight="1" x14ac:dyDescent="0.3">
      <c r="A108" s="210">
        <f>'Unit Data from Audit Worksheet'!A125</f>
        <v>88</v>
      </c>
      <c r="B108" s="223" t="str">
        <f>'Unit Data from Audit Worksheet'!C125</f>
        <v>Water Sewer Revenue, Expenses &amp; Changes in Fund Net Position</v>
      </c>
      <c r="C108" s="209" t="str">
        <f>'Unit Data from Audit Worksheet'!D125</f>
        <v>Charges for services. 
Exclude tap, capacity fees and other misc. income .</v>
      </c>
      <c r="D108" s="134"/>
      <c r="E108" s="229">
        <f>'Unit Data from Audit Worksheet'!F125</f>
        <v>0</v>
      </c>
      <c r="F108" s="222"/>
      <c r="G108" s="224"/>
      <c r="H108" s="221"/>
      <c r="I108" s="32"/>
      <c r="J108" s="220">
        <v>88</v>
      </c>
      <c r="K108" s="219" t="s">
        <v>217</v>
      </c>
      <c r="L108" s="287">
        <f t="shared" si="13"/>
        <v>0</v>
      </c>
      <c r="P108" s="194"/>
      <c r="X108" s="549">
        <v>88</v>
      </c>
      <c r="Y108" s="284">
        <v>88</v>
      </c>
      <c r="AA108" s="384">
        <f t="shared" si="9"/>
        <v>0</v>
      </c>
      <c r="AB108" s="284">
        <f t="shared" si="10"/>
        <v>0</v>
      </c>
    </row>
    <row r="109" spans="1:28" ht="72" customHeight="1" x14ac:dyDescent="0.3">
      <c r="A109" s="210">
        <f>'Unit Data from Audit Worksheet'!A126</f>
        <v>84</v>
      </c>
      <c r="B109" s="223" t="str">
        <f>'Unit Data from Audit Worksheet'!C126</f>
        <v>Water Sewer Revenue, Expenses &amp; Changes in Fund Net Position</v>
      </c>
      <c r="C109" s="209" t="str">
        <f>'Unit Data from Audit Worksheet'!D126</f>
        <v>Total Operating revenues</v>
      </c>
      <c r="D109" s="134"/>
      <c r="E109" s="229">
        <f>'Unit Data from Audit Worksheet'!F126</f>
        <v>0</v>
      </c>
      <c r="F109" s="222" t="str">
        <f>IF(L108&gt;L109,"Error: Charges for services exceed total operating revenues. Acct # 88&gt;84"," ")</f>
        <v xml:space="preserve"> </v>
      </c>
      <c r="G109" s="224" t="str">
        <f>IF(Q90=1," Included in error count"," ")</f>
        <v xml:space="preserve"> </v>
      </c>
      <c r="H109" s="221"/>
      <c r="I109" s="32"/>
      <c r="J109" s="220">
        <v>84</v>
      </c>
      <c r="K109" s="219" t="s">
        <v>218</v>
      </c>
      <c r="L109" s="287">
        <f t="shared" si="13"/>
        <v>0</v>
      </c>
      <c r="P109" s="194"/>
      <c r="X109" s="549">
        <v>84</v>
      </c>
      <c r="Y109" s="284">
        <v>84</v>
      </c>
      <c r="AA109" s="384">
        <f t="shared" si="9"/>
        <v>0</v>
      </c>
      <c r="AB109" s="284">
        <f t="shared" si="10"/>
        <v>0</v>
      </c>
    </row>
    <row r="110" spans="1:28" ht="72" customHeight="1" x14ac:dyDescent="0.3">
      <c r="A110" s="210">
        <f>'Unit Data from Audit Worksheet'!A127</f>
        <v>49</v>
      </c>
      <c r="B110" s="223" t="str">
        <f>'Unit Data from Audit Worksheet'!C127</f>
        <v>Water Sewer Revenue, Expenses &amp; Changes in Fund Net Position</v>
      </c>
      <c r="C110" s="209" t="str">
        <f>'Unit Data from Audit Worksheet'!D127</f>
        <v>Depreciation and amortization expense</v>
      </c>
      <c r="D110" s="134"/>
      <c r="E110" s="229">
        <f>'Unit Data from Audit Worksheet'!F127</f>
        <v>0</v>
      </c>
      <c r="F110" s="222">
        <f>IF(L110&lt;0,"Error: Number is normally positive.",)</f>
        <v>0</v>
      </c>
      <c r="G110" s="224"/>
      <c r="H110" s="221"/>
      <c r="I110" s="32"/>
      <c r="J110" s="220">
        <v>49</v>
      </c>
      <c r="K110" s="219" t="s">
        <v>219</v>
      </c>
      <c r="L110" s="287">
        <f t="shared" si="13"/>
        <v>0</v>
      </c>
      <c r="O110" s="294"/>
      <c r="P110" s="194"/>
      <c r="X110" s="549">
        <v>49</v>
      </c>
      <c r="Y110" s="284">
        <v>49</v>
      </c>
      <c r="AA110" s="384">
        <f t="shared" si="9"/>
        <v>0</v>
      </c>
      <c r="AB110" s="284">
        <f t="shared" si="10"/>
        <v>0</v>
      </c>
    </row>
    <row r="111" spans="1:28" ht="48" customHeight="1" x14ac:dyDescent="0.3">
      <c r="A111" s="210">
        <f>'Unit Data from Audit Worksheet'!A128</f>
        <v>85</v>
      </c>
      <c r="B111" s="223" t="str">
        <f>'Unit Data from Audit Worksheet'!C128</f>
        <v>Water Sewer Revenue, Expenses &amp; Changes in Fund Net Position</v>
      </c>
      <c r="C111" s="209" t="str">
        <f>'Unit Data from Audit Worksheet'!D128</f>
        <v>Total Operating expenses</v>
      </c>
      <c r="D111" s="134"/>
      <c r="E111" s="229">
        <f>'Unit Data from Audit Worksheet'!F128</f>
        <v>0</v>
      </c>
      <c r="F111" s="222"/>
      <c r="G111" s="224"/>
      <c r="H111" s="221"/>
      <c r="I111" s="32"/>
      <c r="J111" s="220">
        <v>85</v>
      </c>
      <c r="K111" s="219" t="s">
        <v>220</v>
      </c>
      <c r="L111" s="287">
        <f t="shared" si="13"/>
        <v>0</v>
      </c>
      <c r="P111" s="194"/>
      <c r="X111" s="549">
        <v>85</v>
      </c>
      <c r="Y111" s="284">
        <v>85</v>
      </c>
      <c r="AA111" s="384">
        <f t="shared" si="9"/>
        <v>0</v>
      </c>
      <c r="AB111" s="284">
        <f t="shared" si="10"/>
        <v>0</v>
      </c>
    </row>
    <row r="112" spans="1:28" ht="48" customHeight="1" x14ac:dyDescent="0.3">
      <c r="A112" s="210">
        <f>'Unit Data from Audit Worksheet'!A129</f>
        <v>89</v>
      </c>
      <c r="B112" s="223" t="str">
        <f>'Unit Data from Audit Worksheet'!C129</f>
        <v>Water Sewer Revenue, Expenses &amp; Changes in Fund Net Position</v>
      </c>
      <c r="C112" s="209" t="str">
        <f>'Unit Data from Audit Worksheet'!D129</f>
        <v>Interest expense</v>
      </c>
      <c r="D112" s="134"/>
      <c r="E112" s="229">
        <f>'Unit Data from Audit Worksheet'!F129</f>
        <v>0</v>
      </c>
      <c r="F112" s="222"/>
      <c r="G112" s="224"/>
      <c r="H112" s="221"/>
      <c r="I112" s="32"/>
      <c r="J112" s="220">
        <v>89</v>
      </c>
      <c r="K112" s="219" t="s">
        <v>221</v>
      </c>
      <c r="L112" s="287">
        <f t="shared" si="13"/>
        <v>0</v>
      </c>
      <c r="P112" s="194"/>
      <c r="X112" s="549">
        <v>89</v>
      </c>
      <c r="Y112" s="284">
        <v>89</v>
      </c>
      <c r="AA112" s="384">
        <f t="shared" si="9"/>
        <v>0</v>
      </c>
      <c r="AB112" s="284">
        <f t="shared" si="10"/>
        <v>0</v>
      </c>
    </row>
    <row r="113" spans="1:28" ht="48" customHeight="1" x14ac:dyDescent="0.3">
      <c r="A113" s="210">
        <f>'Unit Data from Audit Worksheet'!A130</f>
        <v>350</v>
      </c>
      <c r="B113" s="223" t="str">
        <f>'Unit Data from Audit Worksheet'!C130</f>
        <v>Water Sewer Revenue, Expenses &amp; Changes in Fund Net Position</v>
      </c>
      <c r="C113" s="209" t="str">
        <f>'Unit Data from Audit Worksheet'!D130</f>
        <v>Total all non-operating revenues  
Exclude Capital contributions.</v>
      </c>
      <c r="D113" s="134"/>
      <c r="E113" s="229">
        <f>'Unit Data from Audit Worksheet'!F130</f>
        <v>0</v>
      </c>
      <c r="F113" s="222"/>
      <c r="G113" s="224"/>
      <c r="H113" s="221"/>
      <c r="I113" s="32"/>
      <c r="J113" s="220">
        <v>350</v>
      </c>
      <c r="K113" s="219" t="s">
        <v>222</v>
      </c>
      <c r="L113" s="287">
        <f t="shared" si="13"/>
        <v>0</v>
      </c>
      <c r="P113" s="194"/>
      <c r="X113" s="549">
        <v>350</v>
      </c>
      <c r="Y113" s="284">
        <v>350</v>
      </c>
      <c r="AA113" s="384">
        <f t="shared" si="9"/>
        <v>0</v>
      </c>
      <c r="AB113" s="284">
        <f t="shared" si="10"/>
        <v>0</v>
      </c>
    </row>
    <row r="114" spans="1:28" ht="48" customHeight="1" x14ac:dyDescent="0.3">
      <c r="A114" s="210">
        <f>'Unit Data from Audit Worksheet'!A131</f>
        <v>351</v>
      </c>
      <c r="B114" s="223" t="str">
        <f>'Unit Data from Audit Worksheet'!C131</f>
        <v>Water Sewer Revenue, Expenses &amp; Changes in Fund Net Position</v>
      </c>
      <c r="C114" s="209" t="str">
        <f>'Unit Data from Audit Worksheet'!D131</f>
        <v>Total all non-operating expenses.  
Include any negative special, extraordinary, or capital contribution.</v>
      </c>
      <c r="D114" s="134"/>
      <c r="E114" s="229">
        <f>'Unit Data from Audit Worksheet'!F131</f>
        <v>0</v>
      </c>
      <c r="F114" s="222"/>
      <c r="G114" s="224"/>
      <c r="H114" s="221"/>
      <c r="I114" s="32"/>
      <c r="J114" s="220">
        <v>351</v>
      </c>
      <c r="K114" s="219" t="s">
        <v>223</v>
      </c>
      <c r="L114" s="287">
        <f t="shared" si="13"/>
        <v>0</v>
      </c>
      <c r="P114" s="194"/>
      <c r="X114" s="549">
        <v>351</v>
      </c>
      <c r="Y114" s="284">
        <v>351</v>
      </c>
      <c r="AA114" s="384">
        <f t="shared" si="9"/>
        <v>0</v>
      </c>
      <c r="AB114" s="284">
        <f t="shared" si="10"/>
        <v>0</v>
      </c>
    </row>
    <row r="115" spans="1:28" ht="66" customHeight="1" x14ac:dyDescent="0.3">
      <c r="A115" s="210">
        <f>'Unit Data from Audit Worksheet'!A132</f>
        <v>191</v>
      </c>
      <c r="B115" s="223" t="str">
        <f>'Unit Data from Audit Worksheet'!C132</f>
        <v>Water Sewer Revenue, Expenses &amp; Changes in Fund Net Position</v>
      </c>
      <c r="C115" s="209" t="str">
        <f>'Unit Data from Audit Worksheet'!D132</f>
        <v>Capital contributions. Only include positive capital contributions.  Negative capital contributions should be included with 'Total all non-operating expenses.'</v>
      </c>
      <c r="D115" s="134"/>
      <c r="E115" s="229">
        <f>'Unit Data from Audit Worksheet'!F132</f>
        <v>0</v>
      </c>
      <c r="F115" s="222">
        <f>IF(L115&lt;0,"Error: Enter as a positive.",)</f>
        <v>0</v>
      </c>
      <c r="G115" s="224"/>
      <c r="H115" s="221"/>
      <c r="I115" s="32"/>
      <c r="J115" s="220">
        <v>191</v>
      </c>
      <c r="K115" s="219" t="s">
        <v>224</v>
      </c>
      <c r="L115" s="287">
        <f t="shared" si="13"/>
        <v>0</v>
      </c>
      <c r="P115" s="194"/>
      <c r="S115" s="18"/>
      <c r="T115" s="18"/>
      <c r="U115" s="18"/>
      <c r="V115" s="18"/>
      <c r="X115" s="549">
        <v>191</v>
      </c>
      <c r="Y115" s="284">
        <v>191</v>
      </c>
      <c r="Z115" s="18"/>
      <c r="AA115" s="384">
        <f t="shared" si="9"/>
        <v>0</v>
      </c>
      <c r="AB115" s="284">
        <f t="shared" si="10"/>
        <v>0</v>
      </c>
    </row>
    <row r="116" spans="1:28" s="384" customFormat="1" ht="66.599999999999994" customHeight="1" x14ac:dyDescent="0.3">
      <c r="A116" s="210">
        <f>'Unit Data from Audit Worksheet'!A133</f>
        <v>1053</v>
      </c>
      <c r="B116" s="223" t="str">
        <f>'Unit Data from Audit Worksheet'!C133</f>
        <v>Water &amp; Sewer Revenue, Expenses &amp; Changes in Fund Net Position</v>
      </c>
      <c r="C116" s="209" t="str">
        <f>'Unit Data from Audit Worksheet'!D133</f>
        <v>Mark to Market unrealized losses in the Water and Sewer Fund. (enter as a negative number)</v>
      </c>
      <c r="D116" s="134"/>
      <c r="E116" s="229">
        <f>'Unit Data from Audit Worksheet'!F133</f>
        <v>0</v>
      </c>
      <c r="F116" s="222"/>
      <c r="G116" s="224"/>
      <c r="H116" s="221"/>
      <c r="I116" s="32"/>
      <c r="J116" s="220">
        <v>1053</v>
      </c>
      <c r="K116" s="209" t="s">
        <v>1533</v>
      </c>
      <c r="L116" s="293">
        <f t="shared" si="13"/>
        <v>0</v>
      </c>
      <c r="M116"/>
      <c r="P116" s="194"/>
      <c r="Q116" s="277"/>
      <c r="S116" s="18"/>
      <c r="T116" s="18"/>
      <c r="U116" s="18"/>
      <c r="V116" s="18"/>
      <c r="X116" s="549"/>
      <c r="Y116" s="284"/>
      <c r="Z116" s="18"/>
      <c r="AA116" s="384">
        <f t="shared" si="9"/>
        <v>0</v>
      </c>
      <c r="AB116" s="284"/>
    </row>
    <row r="117" spans="1:28" ht="47.25" customHeight="1" x14ac:dyDescent="0.3">
      <c r="A117" s="210">
        <f>'Unit Data from Audit Worksheet'!A134</f>
        <v>352</v>
      </c>
      <c r="B117" s="223" t="str">
        <f>'Unit Data from Audit Worksheet'!C134</f>
        <v>Water Sewer Revenue, Expenses &amp; Changes in Fund Net Position</v>
      </c>
      <c r="C117" s="209" t="str">
        <f>'Unit Data from Audit Worksheet'!D134</f>
        <v>Total Transfers in - all funds (operating and capital)</v>
      </c>
      <c r="D117" s="134"/>
      <c r="E117" s="229">
        <f>'Unit Data from Audit Worksheet'!F134</f>
        <v>0</v>
      </c>
      <c r="F117" s="222"/>
      <c r="G117" s="224"/>
      <c r="H117" s="221"/>
      <c r="I117" s="32"/>
      <c r="J117" s="220">
        <v>352</v>
      </c>
      <c r="K117" s="219" t="s">
        <v>225</v>
      </c>
      <c r="L117" s="287">
        <f t="shared" si="13"/>
        <v>0</v>
      </c>
      <c r="P117" s="194"/>
      <c r="X117" s="549">
        <v>352</v>
      </c>
      <c r="Y117" s="284">
        <v>352</v>
      </c>
      <c r="AA117" s="384">
        <f t="shared" si="9"/>
        <v>0</v>
      </c>
      <c r="AB117" s="284">
        <f t="shared" si="10"/>
        <v>0</v>
      </c>
    </row>
    <row r="118" spans="1:28" ht="70.5" customHeight="1" x14ac:dyDescent="0.3">
      <c r="A118" s="210">
        <f>'Unit Data from Audit Worksheet'!A135</f>
        <v>986</v>
      </c>
      <c r="B118" s="223" t="str">
        <f>'Unit Data from Audit Worksheet'!C135</f>
        <v>Water Sewer Revenue, Expenses &amp; Changes in Fund Net Position</v>
      </c>
      <c r="C118" s="209" t="str">
        <f>'Unit Data from Audit Worksheet'!D135</f>
        <v>Of the transfers-in above in acct # 352, list amount of transfers-in that were used to support Water Sewer operations  (exclude capital transfers)</v>
      </c>
      <c r="D118" s="134"/>
      <c r="E118" s="229">
        <f>'Unit Data from Audit Worksheet'!F135</f>
        <v>0</v>
      </c>
      <c r="F118" s="222"/>
      <c r="G118" s="224"/>
      <c r="H118" s="221"/>
      <c r="I118" s="32"/>
      <c r="J118" s="220">
        <v>986</v>
      </c>
      <c r="K118" s="209" t="s">
        <v>584</v>
      </c>
      <c r="L118" s="293">
        <f t="shared" si="13"/>
        <v>0</v>
      </c>
      <c r="P118" s="194"/>
      <c r="X118" s="549">
        <v>986</v>
      </c>
      <c r="Y118" s="284">
        <v>986</v>
      </c>
      <c r="AA118" s="384">
        <f t="shared" si="9"/>
        <v>0</v>
      </c>
      <c r="AB118" s="284">
        <f t="shared" si="10"/>
        <v>0</v>
      </c>
    </row>
    <row r="119" spans="1:28" ht="47.25" customHeight="1" x14ac:dyDescent="0.3">
      <c r="A119" s="210">
        <f>'Unit Data from Audit Worksheet'!A136</f>
        <v>353</v>
      </c>
      <c r="B119" s="223" t="str">
        <f>'Unit Data from Audit Worksheet'!C136</f>
        <v>Water Sewer Revenue, Expenses &amp; Changes in Fund Net Position</v>
      </c>
      <c r="C119" s="209" t="str">
        <f>'Unit Data from Audit Worksheet'!D136</f>
        <v>Total Transfers out</v>
      </c>
      <c r="D119" s="134"/>
      <c r="E119" s="229">
        <f>'Unit Data from Audit Worksheet'!F136</f>
        <v>0</v>
      </c>
      <c r="F119" s="222">
        <f>IF(L119&lt;0,"Error: Enter as a positive.",)</f>
        <v>0</v>
      </c>
      <c r="G119" s="224"/>
      <c r="H119" s="221"/>
      <c r="I119" s="32"/>
      <c r="J119" s="34">
        <v>353</v>
      </c>
      <c r="K119" s="219" t="s">
        <v>226</v>
      </c>
      <c r="L119" s="287">
        <f t="shared" si="13"/>
        <v>0</v>
      </c>
      <c r="P119" s="194"/>
      <c r="X119" s="549">
        <v>353</v>
      </c>
      <c r="Y119" s="284">
        <v>353</v>
      </c>
      <c r="AA119" s="384">
        <f t="shared" si="9"/>
        <v>0</v>
      </c>
      <c r="AB119" s="284">
        <f t="shared" si="10"/>
        <v>0</v>
      </c>
    </row>
    <row r="120" spans="1:28" ht="72.75" customHeight="1" x14ac:dyDescent="0.3">
      <c r="A120" s="210">
        <f>'Unit Data from Audit Worksheet'!A137</f>
        <v>50</v>
      </c>
      <c r="B120" s="223" t="str">
        <f>'Unit Data from Audit Worksheet'!C137</f>
        <v>Water Sewer Revenue, Expenses &amp; Changes in Fund Net Position</v>
      </c>
      <c r="C120" s="209" t="str">
        <f>'Unit Data from Audit Worksheet'!D137</f>
        <v>Change in net position - Increase in net position is recorded as a positive and a (Decrease) in net position is recorded as a negative.</v>
      </c>
      <c r="D120" s="134"/>
      <c r="E120" s="139">
        <f>'Unit Data from Audit Worksheet'!F137</f>
        <v>0</v>
      </c>
      <c r="F120" s="222">
        <f>IF(L109-L111+L113-L114+L117+L115-L119-L120=0,,"Error:Total revenues less total expenses do not equal total change in net position. Acct # 84-85+350-351+191+352-353-50")</f>
        <v>0</v>
      </c>
      <c r="G120" s="84">
        <f>+L109-L111+L113-L114+L117+L115-L119-L120</f>
        <v>0</v>
      </c>
      <c r="H120" s="221"/>
      <c r="I120" s="32"/>
      <c r="J120" s="220">
        <v>50</v>
      </c>
      <c r="K120" s="219" t="s">
        <v>92</v>
      </c>
      <c r="L120" s="287">
        <f t="shared" si="13"/>
        <v>0</v>
      </c>
      <c r="P120" s="194"/>
      <c r="X120" s="549">
        <v>50</v>
      </c>
      <c r="Y120" s="284">
        <v>50</v>
      </c>
      <c r="AA120" s="384">
        <f t="shared" si="9"/>
        <v>0</v>
      </c>
      <c r="AB120" s="284">
        <f t="shared" si="10"/>
        <v>0</v>
      </c>
    </row>
    <row r="121" spans="1:28" ht="144" customHeight="1" x14ac:dyDescent="0.3">
      <c r="A121" s="210">
        <f>'Unit Data from Audit Worksheet'!A138</f>
        <v>377</v>
      </c>
      <c r="B121" s="223" t="str">
        <f>'Unit Data from Audit Worksheet'!C138</f>
        <v>Water Sewer Revenue, Expenses &amp; Changes in Fund Net Position</v>
      </c>
      <c r="C121" s="209" t="str">
        <f>'Unit Data from Audit Worksheet'!D138</f>
        <v>Increases or (decreases) to beginning water sewer net position due to rounding, prior period adjustments and restatements.  Increase amounts to beginning net position should be entered as a positive amount and (decreases) should be entered as a negative amount.</v>
      </c>
      <c r="D121" s="134"/>
      <c r="E121" s="139">
        <f>'Unit Data from Audit Worksheet'!F138</f>
        <v>0</v>
      </c>
      <c r="F121" s="80" t="e">
        <f>IF(L89-L120-L121=O89,,"Error:Beginning Balance does not agree with out records.Acct # 83-50-377 = PY83")</f>
        <v>#N/A</v>
      </c>
      <c r="G121" s="84" t="e">
        <f>+L89-L120-L121-O89</f>
        <v>#N/A</v>
      </c>
      <c r="H121" s="221" t="e">
        <f>'Unit Data from Audit Worksheet'!I138</f>
        <v>#N/A</v>
      </c>
      <c r="I121" s="32"/>
      <c r="J121" s="220">
        <v>377</v>
      </c>
      <c r="K121" s="219" t="s">
        <v>101</v>
      </c>
      <c r="L121" s="287">
        <f t="shared" si="13"/>
        <v>0</v>
      </c>
      <c r="P121" s="194"/>
      <c r="X121" s="549">
        <v>377</v>
      </c>
      <c r="Y121" s="284">
        <v>377</v>
      </c>
      <c r="AA121" s="384">
        <f t="shared" si="9"/>
        <v>0</v>
      </c>
      <c r="AB121" s="284">
        <f t="shared" si="10"/>
        <v>0</v>
      </c>
    </row>
    <row r="122" spans="1:28" ht="63" customHeight="1" x14ac:dyDescent="0.3">
      <c r="A122" s="310">
        <f>'Unit Data from Audit Worksheet'!A139</f>
        <v>537</v>
      </c>
      <c r="B122" s="223" t="str">
        <f>'Unit Data from Audit Worksheet'!C139</f>
        <v>Water Sewer Revenue, Expenses &amp; Changes in Fund Net Position</v>
      </c>
      <c r="C122" s="209" t="str">
        <f>'Unit Data from Audit Worksheet'!D139</f>
        <v>Did unit raise Water Sewer rates during the audited fiscal period? - answer Yes =1 or No= 2</v>
      </c>
      <c r="D122" s="129"/>
      <c r="E122" s="229">
        <f>'Unit Data from Audit Worksheet'!F139</f>
        <v>0</v>
      </c>
      <c r="F122" s="222" t="s">
        <v>309</v>
      </c>
      <c r="G122" s="224"/>
      <c r="H122" s="221"/>
      <c r="I122" s="32"/>
      <c r="J122" s="60">
        <v>537</v>
      </c>
      <c r="K122" s="58" t="s">
        <v>280</v>
      </c>
      <c r="L122" s="287">
        <f t="shared" si="13"/>
        <v>0</v>
      </c>
      <c r="N122" s="54" t="s">
        <v>299</v>
      </c>
      <c r="P122" s="194"/>
      <c r="X122" s="549">
        <v>537</v>
      </c>
      <c r="Y122" s="284">
        <v>537</v>
      </c>
      <c r="AA122" s="384">
        <f t="shared" si="9"/>
        <v>0</v>
      </c>
      <c r="AB122" s="284">
        <f t="shared" si="10"/>
        <v>0</v>
      </c>
    </row>
    <row r="123" spans="1:28" ht="63.75" customHeight="1" x14ac:dyDescent="0.3">
      <c r="A123" s="310">
        <f>'Unit Data from Audit Worksheet'!A140</f>
        <v>538</v>
      </c>
      <c r="B123" s="223" t="str">
        <f>'Unit Data from Audit Worksheet'!C140</f>
        <v>Water Sewer Revenue, Expenses &amp; Changes in Fund Net Position</v>
      </c>
      <c r="C123" s="209" t="str">
        <f>'Unit Data from Audit Worksheet'!D140</f>
        <v>Did unit raise Water Sewer rates during the budget year following the audited fiscal year? - answer Yes=1 or No=2</v>
      </c>
      <c r="D123" s="129"/>
      <c r="E123" s="229">
        <f>'Unit Data from Audit Worksheet'!F140</f>
        <v>0</v>
      </c>
      <c r="F123" s="222" t="s">
        <v>309</v>
      </c>
      <c r="G123" s="224"/>
      <c r="H123" s="221"/>
      <c r="I123" s="32"/>
      <c r="J123" s="60">
        <v>538</v>
      </c>
      <c r="K123" s="58" t="s">
        <v>279</v>
      </c>
      <c r="L123" s="287">
        <f t="shared" si="13"/>
        <v>0</v>
      </c>
      <c r="N123" s="54" t="s">
        <v>299</v>
      </c>
      <c r="P123" s="194"/>
      <c r="X123" s="549">
        <v>538</v>
      </c>
      <c r="Y123" s="284">
        <v>538</v>
      </c>
      <c r="AA123" s="384">
        <f t="shared" si="9"/>
        <v>0</v>
      </c>
      <c r="AB123" s="284">
        <f t="shared" si="10"/>
        <v>0</v>
      </c>
    </row>
    <row r="124" spans="1:28" ht="47.25" customHeight="1" x14ac:dyDescent="0.3">
      <c r="A124" s="210">
        <f>'Unit Data from Audit Worksheet'!A142</f>
        <v>97</v>
      </c>
      <c r="B124" s="223" t="str">
        <f>'Unit Data from Audit Worksheet'!C142</f>
        <v>Electric Fund Revenue, Expenses &amp; Changes in Fund Net Position</v>
      </c>
      <c r="C124" s="209" t="str">
        <f>'Unit Data from Audit Worksheet'!D142</f>
        <v>Charges for services</v>
      </c>
      <c r="D124" s="228"/>
      <c r="E124" s="229">
        <f>'Unit Data from Audit Worksheet'!F142</f>
        <v>0</v>
      </c>
      <c r="F124" s="222">
        <f>IF(L124&lt;0,"Error: Enter as a positive.",)</f>
        <v>0</v>
      </c>
      <c r="G124" s="224"/>
      <c r="H124" s="221"/>
      <c r="I124" s="32"/>
      <c r="J124" s="220">
        <v>97</v>
      </c>
      <c r="K124" s="219" t="s">
        <v>227</v>
      </c>
      <c r="L124" s="287">
        <f t="shared" ref="L124:L200" si="15">IF(D124="",E124,D124)</f>
        <v>0</v>
      </c>
      <c r="P124" s="194"/>
      <c r="X124" s="549">
        <v>97</v>
      </c>
      <c r="Y124" s="284">
        <v>97</v>
      </c>
      <c r="AA124" s="384">
        <f t="shared" si="9"/>
        <v>0</v>
      </c>
      <c r="AB124" s="284">
        <f t="shared" si="10"/>
        <v>0</v>
      </c>
    </row>
    <row r="125" spans="1:28" ht="45.75" customHeight="1" x14ac:dyDescent="0.3">
      <c r="A125" s="210">
        <f>'Unit Data from Audit Worksheet'!A143</f>
        <v>93</v>
      </c>
      <c r="B125" s="223" t="str">
        <f>'Unit Data from Audit Worksheet'!C143</f>
        <v>Electric Fund Revenue, Expenses &amp; Changes in Fund Net Position</v>
      </c>
      <c r="C125" s="209" t="str">
        <f>'Unit Data from Audit Worksheet'!D143</f>
        <v>Total Operating revenues</v>
      </c>
      <c r="D125" s="228"/>
      <c r="E125" s="229">
        <f>'Unit Data from Audit Worksheet'!F143</f>
        <v>0</v>
      </c>
      <c r="F125" s="222" t="str">
        <f>IF(L124&gt;L125,"Error: Charges for services exceeds total operating revenues Acct 97&gt;=93"," ")</f>
        <v xml:space="preserve"> </v>
      </c>
      <c r="G125" s="224" t="str">
        <f>IF(Q105=1," Included in error count"," ")</f>
        <v xml:space="preserve"> </v>
      </c>
      <c r="H125" s="221"/>
      <c r="I125" s="32"/>
      <c r="J125" s="220">
        <v>93</v>
      </c>
      <c r="K125" s="219" t="s">
        <v>228</v>
      </c>
      <c r="L125" s="287">
        <f t="shared" si="15"/>
        <v>0</v>
      </c>
      <c r="P125" s="194"/>
      <c r="X125" s="549">
        <v>93</v>
      </c>
      <c r="Y125" s="284">
        <v>93</v>
      </c>
      <c r="AA125" s="384">
        <f t="shared" si="9"/>
        <v>0</v>
      </c>
      <c r="AB125" s="284">
        <f t="shared" si="10"/>
        <v>0</v>
      </c>
    </row>
    <row r="126" spans="1:28" ht="45.75" customHeight="1" x14ac:dyDescent="0.3">
      <c r="A126" s="210">
        <f>'Unit Data from Audit Worksheet'!A144</f>
        <v>99</v>
      </c>
      <c r="B126" s="223" t="str">
        <f>'Unit Data from Audit Worksheet'!C144</f>
        <v>Electric Fund Revenue, Expenses &amp; Changes in Fund Net Position</v>
      </c>
      <c r="C126" s="209" t="str">
        <f>'Unit Data from Audit Worksheet'!D144</f>
        <v>Electrical power purchases</v>
      </c>
      <c r="D126" s="228"/>
      <c r="E126" s="229">
        <f>'Unit Data from Audit Worksheet'!F144</f>
        <v>0</v>
      </c>
      <c r="F126" s="222">
        <f>IF(L126&lt;0,"Error: Enter as a positive.",)</f>
        <v>0</v>
      </c>
      <c r="G126" s="224"/>
      <c r="H126" s="221"/>
      <c r="I126" s="32"/>
      <c r="J126" s="220">
        <v>99</v>
      </c>
      <c r="K126" s="219" t="s">
        <v>229</v>
      </c>
      <c r="L126" s="287">
        <f t="shared" si="15"/>
        <v>0</v>
      </c>
      <c r="P126" s="194"/>
      <c r="S126" s="18"/>
      <c r="T126" s="18"/>
      <c r="U126" s="18"/>
      <c r="V126" s="18"/>
      <c r="X126" s="549">
        <v>99</v>
      </c>
      <c r="Y126" s="284">
        <v>99</v>
      </c>
      <c r="Z126" s="18"/>
      <c r="AA126" s="384">
        <f t="shared" si="9"/>
        <v>0</v>
      </c>
      <c r="AB126" s="284">
        <f t="shared" si="10"/>
        <v>0</v>
      </c>
    </row>
    <row r="127" spans="1:28" ht="45.75" customHeight="1" x14ac:dyDescent="0.3">
      <c r="A127" s="210">
        <f>'Unit Data from Audit Worksheet'!A145</f>
        <v>52</v>
      </c>
      <c r="B127" s="223" t="str">
        <f>'Unit Data from Audit Worksheet'!C145</f>
        <v>Electric Fund Revenue, Expenses &amp; Changes in Fund Net Position</v>
      </c>
      <c r="C127" s="209" t="str">
        <f>'Unit Data from Audit Worksheet'!D145</f>
        <v>Depreciation and amortization expense</v>
      </c>
      <c r="D127" s="228"/>
      <c r="E127" s="229">
        <f>'Unit Data from Audit Worksheet'!F145</f>
        <v>0</v>
      </c>
      <c r="F127" s="222">
        <f>IF(L127&lt;0,"Error: Enter as a positive.",)</f>
        <v>0</v>
      </c>
      <c r="G127" s="224"/>
      <c r="H127" s="221"/>
      <c r="I127" s="32"/>
      <c r="J127" s="220">
        <v>52</v>
      </c>
      <c r="K127" s="219" t="s">
        <v>230</v>
      </c>
      <c r="L127" s="287">
        <f t="shared" si="15"/>
        <v>0</v>
      </c>
      <c r="P127" s="194"/>
      <c r="X127" s="549">
        <v>52</v>
      </c>
      <c r="Y127" s="284">
        <v>52</v>
      </c>
      <c r="AA127" s="384">
        <f t="shared" si="9"/>
        <v>0</v>
      </c>
      <c r="AB127" s="284">
        <f t="shared" si="10"/>
        <v>0</v>
      </c>
    </row>
    <row r="128" spans="1:28" ht="45.75" customHeight="1" x14ac:dyDescent="0.3">
      <c r="A128" s="210">
        <f>'Unit Data from Audit Worksheet'!A146</f>
        <v>94</v>
      </c>
      <c r="B128" s="223" t="str">
        <f>'Unit Data from Audit Worksheet'!C146</f>
        <v>Electric Fund Revenue, Expenses &amp; Changes in Fund Net Position</v>
      </c>
      <c r="C128" s="209" t="str">
        <f>'Unit Data from Audit Worksheet'!D146</f>
        <v>Total Operating expenses</v>
      </c>
      <c r="D128" s="228"/>
      <c r="E128" s="229">
        <f>'Unit Data from Audit Worksheet'!F146</f>
        <v>0</v>
      </c>
      <c r="F128" s="222">
        <f>IF(L128&lt;0,"Error: Enter as a positive.",)</f>
        <v>0</v>
      </c>
      <c r="G128" s="224"/>
      <c r="H128" s="221"/>
      <c r="I128" s="32"/>
      <c r="J128" s="220">
        <v>94</v>
      </c>
      <c r="K128" s="219" t="s">
        <v>231</v>
      </c>
      <c r="L128" s="287">
        <f t="shared" si="15"/>
        <v>0</v>
      </c>
      <c r="P128" s="194"/>
      <c r="X128" s="549">
        <v>94</v>
      </c>
      <c r="Y128" s="284">
        <v>94</v>
      </c>
      <c r="AA128" s="384">
        <f t="shared" si="9"/>
        <v>0</v>
      </c>
      <c r="AB128" s="284">
        <f t="shared" si="10"/>
        <v>0</v>
      </c>
    </row>
    <row r="129" spans="1:28" ht="46.5" customHeight="1" x14ac:dyDescent="0.3">
      <c r="A129" s="210">
        <f>'Unit Data from Audit Worksheet'!A147</f>
        <v>98</v>
      </c>
      <c r="B129" s="223" t="str">
        <f>'Unit Data from Audit Worksheet'!C147</f>
        <v>Electric Fund Revenue, Expenses &amp; Changes in Fund Net Position</v>
      </c>
      <c r="C129" s="209" t="str">
        <f>'Unit Data from Audit Worksheet'!D147</f>
        <v>Interest expense</v>
      </c>
      <c r="D129" s="228"/>
      <c r="E129" s="229">
        <f>'Unit Data from Audit Worksheet'!F147</f>
        <v>0</v>
      </c>
      <c r="F129" s="222">
        <f>IF(L129&lt;0,"Error: Enter as a positive.",)</f>
        <v>0</v>
      </c>
      <c r="G129" s="224"/>
      <c r="H129" s="221"/>
      <c r="I129" s="32"/>
      <c r="J129" s="220">
        <v>98</v>
      </c>
      <c r="K129" s="219" t="s">
        <v>232</v>
      </c>
      <c r="L129" s="287">
        <f t="shared" si="15"/>
        <v>0</v>
      </c>
      <c r="P129" s="194"/>
      <c r="X129" s="549">
        <v>98</v>
      </c>
      <c r="Y129" s="284">
        <v>98</v>
      </c>
      <c r="AA129" s="384">
        <f t="shared" si="9"/>
        <v>0</v>
      </c>
      <c r="AB129" s="284">
        <f t="shared" si="10"/>
        <v>0</v>
      </c>
    </row>
    <row r="130" spans="1:28" ht="51" customHeight="1" x14ac:dyDescent="0.3">
      <c r="A130" s="210">
        <f>'Unit Data from Audit Worksheet'!A148</f>
        <v>363</v>
      </c>
      <c r="B130" s="223" t="str">
        <f>'Unit Data from Audit Worksheet'!C148</f>
        <v>Electric Fund Revenue, Expenses &amp; Changes in Fund Net Position</v>
      </c>
      <c r="C130" s="209" t="str">
        <f>'Unit Data from Audit Worksheet'!D148</f>
        <v>Total all the non-operating revenues  
Exclude Capital Contributions.</v>
      </c>
      <c r="D130" s="228"/>
      <c r="E130" s="229">
        <f>'Unit Data from Audit Worksheet'!F148</f>
        <v>0</v>
      </c>
      <c r="F130" s="222"/>
      <c r="G130" s="224"/>
      <c r="H130" s="221"/>
      <c r="I130" s="32"/>
      <c r="J130" s="220">
        <v>363</v>
      </c>
      <c r="K130" s="219" t="s">
        <v>233</v>
      </c>
      <c r="L130" s="287">
        <f t="shared" si="15"/>
        <v>0</v>
      </c>
      <c r="P130" s="194"/>
      <c r="X130" s="549">
        <v>363</v>
      </c>
      <c r="Y130" s="284">
        <v>363</v>
      </c>
      <c r="AA130" s="384">
        <f t="shared" si="9"/>
        <v>0</v>
      </c>
      <c r="AB130" s="284">
        <f t="shared" si="10"/>
        <v>0</v>
      </c>
    </row>
    <row r="131" spans="1:28" ht="60" customHeight="1" x14ac:dyDescent="0.3">
      <c r="A131" s="210">
        <f>'Unit Data from Audit Worksheet'!A149</f>
        <v>364</v>
      </c>
      <c r="B131" s="223" t="str">
        <f>'Unit Data from Audit Worksheet'!C149</f>
        <v>Electric Fund Revenue, Expenses &amp; Changes in Fund Net Position</v>
      </c>
      <c r="C131" s="209" t="str">
        <f>'Unit Data from Audit Worksheet'!D149</f>
        <v>Total all non-operating expenses.  
Include negative special, extraordinary, or capital contribution.</v>
      </c>
      <c r="D131" s="228"/>
      <c r="E131" s="229">
        <f>'Unit Data from Audit Worksheet'!F149</f>
        <v>0</v>
      </c>
      <c r="F131" s="222">
        <f>IF(L131&lt;0,"Error: Enter as a positive.",)</f>
        <v>0</v>
      </c>
      <c r="G131" s="224"/>
      <c r="H131" s="221"/>
      <c r="I131" s="32"/>
      <c r="J131" s="220">
        <v>364</v>
      </c>
      <c r="K131" s="219" t="s">
        <v>234</v>
      </c>
      <c r="L131" s="287">
        <f t="shared" si="15"/>
        <v>0</v>
      </c>
      <c r="P131" s="194"/>
      <c r="X131" s="549">
        <v>364</v>
      </c>
      <c r="Y131" s="284">
        <v>364</v>
      </c>
      <c r="AA131" s="384">
        <f t="shared" si="9"/>
        <v>0</v>
      </c>
      <c r="AB131" s="284">
        <f t="shared" si="10"/>
        <v>0</v>
      </c>
    </row>
    <row r="132" spans="1:28" ht="89.25" customHeight="1" x14ac:dyDescent="0.3">
      <c r="A132" s="210">
        <f>'Unit Data from Audit Worksheet'!A150</f>
        <v>192</v>
      </c>
      <c r="B132" s="223" t="str">
        <f>'Unit Data from Audit Worksheet'!C150</f>
        <v>Electric Fund Revenue, Expenses &amp; Changes in Fund Net Position</v>
      </c>
      <c r="C132" s="209" t="str">
        <f>'Unit Data from Audit Worksheet'!D150</f>
        <v>Capital Contributions.  
Include only positive capital Contributions.  Negative capital contributions should be included with 'Total all non-operating expenses.'</v>
      </c>
      <c r="D132" s="228"/>
      <c r="E132" s="229">
        <f>'Unit Data from Audit Worksheet'!F150</f>
        <v>0</v>
      </c>
      <c r="F132" s="222">
        <f>IF(L132&lt;0,"Error: Enter as a positive.",)</f>
        <v>0</v>
      </c>
      <c r="G132" s="224"/>
      <c r="H132" s="221"/>
      <c r="I132" s="32"/>
      <c r="J132" s="220">
        <v>192</v>
      </c>
      <c r="K132" s="219" t="s">
        <v>235</v>
      </c>
      <c r="L132" s="287">
        <f t="shared" si="15"/>
        <v>0</v>
      </c>
      <c r="P132" s="194"/>
      <c r="X132" s="549">
        <v>192</v>
      </c>
      <c r="Y132" s="284">
        <v>192</v>
      </c>
      <c r="AA132" s="384">
        <f t="shared" si="9"/>
        <v>0</v>
      </c>
      <c r="AB132" s="284">
        <f t="shared" si="10"/>
        <v>0</v>
      </c>
    </row>
    <row r="133" spans="1:28" s="384" customFormat="1" ht="89.25" customHeight="1" x14ac:dyDescent="0.3">
      <c r="A133" s="210">
        <f>'Unit Data from Audit Worksheet'!A151</f>
        <v>1054</v>
      </c>
      <c r="B133" s="223" t="str">
        <f>'Unit Data from Audit Worksheet'!C151</f>
        <v>Electric Fund Revenue, Expenses &amp; Changes in Fund Net Position</v>
      </c>
      <c r="C133" s="209" t="str">
        <f>'Unit Data from Audit Worksheet'!D151</f>
        <v xml:space="preserve"> Mark to Market unrealized losses in the Electric Fund. (enter as a negative number)</v>
      </c>
      <c r="D133" s="228"/>
      <c r="E133" s="229">
        <f>'Unit Data from Audit Worksheet'!F151</f>
        <v>0</v>
      </c>
      <c r="F133" s="222"/>
      <c r="G133" s="224"/>
      <c r="H133" s="221"/>
      <c r="I133" s="32"/>
      <c r="J133" s="220">
        <v>1054</v>
      </c>
      <c r="K133" s="209" t="s">
        <v>1439</v>
      </c>
      <c r="L133" s="287">
        <f t="shared" si="15"/>
        <v>0</v>
      </c>
      <c r="M133"/>
      <c r="P133" s="194"/>
      <c r="Q133" s="277"/>
      <c r="X133" s="549"/>
      <c r="Y133" s="284"/>
      <c r="AA133" s="384">
        <f t="shared" si="9"/>
        <v>0</v>
      </c>
      <c r="AB133" s="284"/>
    </row>
    <row r="134" spans="1:28" ht="42.75" customHeight="1" x14ac:dyDescent="0.3">
      <c r="A134" s="210">
        <f>'Unit Data from Audit Worksheet'!A152</f>
        <v>365</v>
      </c>
      <c r="B134" s="223" t="str">
        <f>'Unit Data from Audit Worksheet'!C152</f>
        <v>Electric Fund Revenue, Expenses &amp; Changes in Fund Net Position</v>
      </c>
      <c r="C134" s="209" t="str">
        <f>'Unit Data from Audit Worksheet'!D152</f>
        <v>Total Transfers In (From all Funds)</v>
      </c>
      <c r="D134" s="228"/>
      <c r="E134" s="229">
        <f>'Unit Data from Audit Worksheet'!F152</f>
        <v>0</v>
      </c>
      <c r="F134" s="222"/>
      <c r="G134" s="224"/>
      <c r="H134" s="221"/>
      <c r="I134" s="32"/>
      <c r="J134" s="220">
        <v>365</v>
      </c>
      <c r="K134" s="219" t="s">
        <v>236</v>
      </c>
      <c r="L134" s="287">
        <f t="shared" si="15"/>
        <v>0</v>
      </c>
      <c r="P134" s="194"/>
      <c r="X134" s="549">
        <v>365</v>
      </c>
      <c r="Y134" s="284">
        <v>365</v>
      </c>
      <c r="AA134" s="384">
        <f t="shared" si="9"/>
        <v>0</v>
      </c>
      <c r="AB134" s="284">
        <f t="shared" si="10"/>
        <v>0</v>
      </c>
    </row>
    <row r="135" spans="1:28" ht="42.75" customHeight="1" x14ac:dyDescent="0.3">
      <c r="A135" s="210">
        <f>'Unit Data from Audit Worksheet'!A153</f>
        <v>366</v>
      </c>
      <c r="B135" s="223" t="str">
        <f>'Unit Data from Audit Worksheet'!C153</f>
        <v>Electric Fund Revenue, Expenses &amp; Changes in Fund Net Position</v>
      </c>
      <c r="C135" s="209" t="str">
        <f>'Unit Data from Audit Worksheet'!D153</f>
        <v>Total Transfers Out (To all funds)</v>
      </c>
      <c r="D135" s="228"/>
      <c r="E135" s="229">
        <f>'Unit Data from Audit Worksheet'!F153</f>
        <v>0</v>
      </c>
      <c r="F135" s="222">
        <f>IF(L135&lt;0,"Error: Enter as a positive.",)</f>
        <v>0</v>
      </c>
      <c r="G135" s="224"/>
      <c r="H135" s="221"/>
      <c r="I135" s="32"/>
      <c r="J135" s="220">
        <v>366</v>
      </c>
      <c r="K135" s="219" t="s">
        <v>291</v>
      </c>
      <c r="L135" s="287">
        <f t="shared" si="15"/>
        <v>0</v>
      </c>
      <c r="P135" s="194"/>
      <c r="X135" s="549">
        <v>366</v>
      </c>
      <c r="Y135" s="284">
        <v>366</v>
      </c>
      <c r="AA135" s="384">
        <f t="shared" si="9"/>
        <v>0</v>
      </c>
      <c r="AB135" s="284">
        <f t="shared" si="10"/>
        <v>0</v>
      </c>
    </row>
    <row r="136" spans="1:28" s="18" customFormat="1" ht="76.5" customHeight="1" x14ac:dyDescent="0.3">
      <c r="A136" s="210">
        <f>'Unit Data from Audit Worksheet'!A154</f>
        <v>53</v>
      </c>
      <c r="B136" s="223" t="str">
        <f>'Unit Data from Audit Worksheet'!C154</f>
        <v>Electric Fund Revenue, Expenses &amp; Changes in Fund Net Position</v>
      </c>
      <c r="C136" s="209" t="str">
        <f>'Unit Data from Audit Worksheet'!D154</f>
        <v>Change in net position - Increase in net position is recorded as a positive and a (decrease) in net position is recorded as a negative.</v>
      </c>
      <c r="D136" s="228"/>
      <c r="E136" s="229">
        <f>'Unit Data from Audit Worksheet'!F154</f>
        <v>0</v>
      </c>
      <c r="F136" s="222">
        <f>IF(L125-L128+L130-L131+L132+L134-L135-L136=0,,"Error: Total revenues less total exp. does not equal change in net position Acct 93-94+363-364+192+365-366-53=0")</f>
        <v>0</v>
      </c>
      <c r="G136" s="84">
        <f>+L125-L128+L130-L131+L132+L134-L135-L136</f>
        <v>0</v>
      </c>
      <c r="H136" s="221"/>
      <c r="I136" s="32"/>
      <c r="J136" s="220">
        <v>53</v>
      </c>
      <c r="K136" s="219" t="s">
        <v>93</v>
      </c>
      <c r="L136" s="287">
        <f t="shared" si="15"/>
        <v>0</v>
      </c>
      <c r="M136"/>
      <c r="P136" s="194"/>
      <c r="Q136" s="277"/>
      <c r="R136" s="3"/>
      <c r="S136" s="3"/>
      <c r="T136" s="3"/>
      <c r="U136" s="3"/>
      <c r="V136" s="3"/>
      <c r="W136" s="3"/>
      <c r="X136" s="549">
        <v>53</v>
      </c>
      <c r="Y136" s="284">
        <v>53</v>
      </c>
      <c r="Z136" s="3"/>
      <c r="AA136" s="384">
        <f t="shared" si="9"/>
        <v>0</v>
      </c>
      <c r="AB136" s="284">
        <f t="shared" si="10"/>
        <v>0</v>
      </c>
    </row>
    <row r="137" spans="1:28" ht="140.25" customHeight="1" x14ac:dyDescent="0.3">
      <c r="A137" s="210">
        <f>'Unit Data from Audit Worksheet'!A155</f>
        <v>378</v>
      </c>
      <c r="B137" s="223" t="str">
        <f>'Unit Data from Audit Worksheet'!C155</f>
        <v>Electric Fund Revenue, Expenses &amp; Changes in Fund Net Position</v>
      </c>
      <c r="C137" s="209" t="str">
        <f>'Unit Data from Audit Worksheet'!D155</f>
        <v>Increases or (decreases) to beginning electric net position due to rounding, prior period adjustments and restatements.  Increase amounts to beginning net position should be entered as a positive amount and (decreases) should be entered as a negative amount.</v>
      </c>
      <c r="D137" s="228"/>
      <c r="E137" s="229">
        <f>+'Unit Data from Audit Worksheet'!F155</f>
        <v>0</v>
      </c>
      <c r="F137" s="222" t="e">
        <f>IF(L107-L136-L137=O107,,"Error: Beg. Bal does not agree with our records Acct 362-53-378= pr yr 362")</f>
        <v>#N/A</v>
      </c>
      <c r="G137" s="84" t="e">
        <f>L107-L136-L137-O107</f>
        <v>#N/A</v>
      </c>
      <c r="H137" s="221" t="e">
        <f>'Unit Data from Audit Worksheet'!I155</f>
        <v>#N/A</v>
      </c>
      <c r="I137" s="32"/>
      <c r="J137" s="220">
        <v>378</v>
      </c>
      <c r="K137" s="219" t="s">
        <v>102</v>
      </c>
      <c r="L137" s="287">
        <f t="shared" si="15"/>
        <v>0</v>
      </c>
      <c r="P137" s="194"/>
      <c r="X137" s="549">
        <v>378</v>
      </c>
      <c r="Y137" s="284">
        <v>378</v>
      </c>
      <c r="AA137" s="384">
        <f t="shared" si="9"/>
        <v>0</v>
      </c>
      <c r="AB137" s="284">
        <f t="shared" si="10"/>
        <v>0</v>
      </c>
    </row>
    <row r="138" spans="1:28" ht="28.8" x14ac:dyDescent="0.3">
      <c r="A138" s="210">
        <f>'Unit Data from Audit Worksheet'!A160</f>
        <v>51</v>
      </c>
      <c r="B138" s="223" t="str">
        <f>'Unit Data from Audit Worksheet'!C160</f>
        <v>Water Sewer Cash Flow Statement</v>
      </c>
      <c r="C138" s="209" t="str">
        <f>'Unit Data from Audit Worksheet'!D160</f>
        <v>Total Cash flow from operating activities  - (Enter negative cash flows as negative)</v>
      </c>
      <c r="D138" s="228"/>
      <c r="E138" s="229">
        <f>'Unit Data from Audit Worksheet'!F160</f>
        <v>0</v>
      </c>
      <c r="F138" s="222"/>
      <c r="G138" s="224"/>
      <c r="H138" s="221"/>
      <c r="I138" s="32"/>
      <c r="J138" s="220">
        <v>51</v>
      </c>
      <c r="K138" s="219" t="s">
        <v>237</v>
      </c>
      <c r="L138" s="287">
        <f t="shared" si="15"/>
        <v>0</v>
      </c>
      <c r="P138" s="194"/>
      <c r="X138" s="549">
        <v>51</v>
      </c>
      <c r="Y138" s="284">
        <v>51</v>
      </c>
      <c r="AA138" s="384">
        <f t="shared" ref="AA138:AA209" si="16">A138-J138</f>
        <v>0</v>
      </c>
      <c r="AB138" s="284">
        <f t="shared" ref="AB138:AB209" si="17">E138-L138</f>
        <v>0</v>
      </c>
    </row>
    <row r="139" spans="1:28" ht="64.5" customHeight="1" x14ac:dyDescent="0.3">
      <c r="A139" s="210">
        <f>'Unit Data from Audit Worksheet'!A161</f>
        <v>332</v>
      </c>
      <c r="B139" s="223" t="str">
        <f>'Unit Data from Audit Worksheet'!C161</f>
        <v>Water Sewer Cash Flow Statement</v>
      </c>
      <c r="C139" s="209" t="str">
        <f>'Unit Data from Audit Worksheet'!D161</f>
        <v>Total Capital outlay. 
Include acquisition and construction of capital assets.</v>
      </c>
      <c r="D139" s="228"/>
      <c r="E139" s="229">
        <f>'Unit Data from Audit Worksheet'!F161</f>
        <v>0</v>
      </c>
      <c r="F139" s="222">
        <f>IF(L139&lt;0,"Error: Enter as a positive.",)</f>
        <v>0</v>
      </c>
      <c r="G139" s="224"/>
      <c r="H139" s="221"/>
      <c r="I139" s="32"/>
      <c r="J139" s="220">
        <v>332</v>
      </c>
      <c r="K139" s="219" t="s">
        <v>239</v>
      </c>
      <c r="L139" s="287">
        <f t="shared" si="15"/>
        <v>0</v>
      </c>
      <c r="O139" s="294"/>
      <c r="P139" s="194"/>
      <c r="X139" s="549">
        <v>332</v>
      </c>
      <c r="Y139" s="284">
        <v>332</v>
      </c>
      <c r="AA139" s="384">
        <f t="shared" si="16"/>
        <v>0</v>
      </c>
      <c r="AB139" s="284">
        <f t="shared" si="17"/>
        <v>0</v>
      </c>
    </row>
    <row r="140" spans="1:28" ht="58.5" customHeight="1" x14ac:dyDescent="0.3">
      <c r="A140" s="210">
        <f>'Unit Data from Audit Worksheet'!A162</f>
        <v>331</v>
      </c>
      <c r="B140" s="223" t="str">
        <f>'Unit Data from Audit Worksheet'!C162</f>
        <v>Water Sewer Cash Flow Statement</v>
      </c>
      <c r="C140" s="209" t="str">
        <f>'Unit Data from Audit Worksheet'!D162</f>
        <v>Principal paid on long-term debt.  Amount should be reduced by principal payments for debt refunding.</v>
      </c>
      <c r="D140" s="228"/>
      <c r="E140" s="229">
        <f>'Unit Data from Audit Worksheet'!F162</f>
        <v>0</v>
      </c>
      <c r="F140" s="222">
        <f>IF(L140&lt;0,"Error: Enter as a positive.",)</f>
        <v>0</v>
      </c>
      <c r="G140" s="224"/>
      <c r="H140" s="221"/>
      <c r="I140" s="32"/>
      <c r="J140" s="220">
        <v>331</v>
      </c>
      <c r="K140" s="219" t="s">
        <v>238</v>
      </c>
      <c r="L140" s="287">
        <f t="shared" si="15"/>
        <v>0</v>
      </c>
      <c r="O140" s="294"/>
      <c r="P140" s="194"/>
      <c r="X140" s="549">
        <v>331</v>
      </c>
      <c r="Y140" s="284">
        <v>331</v>
      </c>
      <c r="AA140" s="384">
        <f t="shared" si="16"/>
        <v>0</v>
      </c>
      <c r="AB140" s="284">
        <f t="shared" si="17"/>
        <v>0</v>
      </c>
    </row>
    <row r="141" spans="1:28" ht="51.75" customHeight="1" x14ac:dyDescent="0.3">
      <c r="A141" s="210">
        <f>'Unit Data from Audit Worksheet'!A164</f>
        <v>55</v>
      </c>
      <c r="B141" s="223" t="str">
        <f>'Unit Data from Audit Worksheet'!C164</f>
        <v>Electric Fund Cash Flow Statement</v>
      </c>
      <c r="C141" s="209" t="str">
        <f>'Unit Data from Audit Worksheet'!D164</f>
        <v>Cash flow from operating activities - (enter negative cash flows as negative)</v>
      </c>
      <c r="D141" s="228"/>
      <c r="E141" s="229">
        <f>'Unit Data from Audit Worksheet'!F164</f>
        <v>0</v>
      </c>
      <c r="F141" s="222"/>
      <c r="G141" s="224"/>
      <c r="H141" s="221"/>
      <c r="I141" s="32"/>
      <c r="J141" s="220">
        <v>55</v>
      </c>
      <c r="K141" s="219" t="s">
        <v>240</v>
      </c>
      <c r="L141" s="287">
        <f t="shared" si="15"/>
        <v>0</v>
      </c>
      <c r="P141" s="194"/>
      <c r="X141" s="549">
        <v>55</v>
      </c>
      <c r="Y141" s="284">
        <v>55</v>
      </c>
      <c r="AA141" s="384">
        <f t="shared" si="16"/>
        <v>0</v>
      </c>
      <c r="AB141" s="284">
        <f t="shared" si="17"/>
        <v>0</v>
      </c>
    </row>
    <row r="142" spans="1:28" ht="58.5" customHeight="1" x14ac:dyDescent="0.3">
      <c r="A142" s="210">
        <f>'Unit Data from Audit Worksheet'!A165</f>
        <v>101</v>
      </c>
      <c r="B142" s="223" t="str">
        <f>'Unit Data from Audit Worksheet'!C165</f>
        <v>Electric Fund Cash Flow Statement</v>
      </c>
      <c r="C142" s="209" t="str">
        <f>'Unit Data from Audit Worksheet'!D165</f>
        <v>Total Capital outlay.  
Include acquisition and construction of capital assets.</v>
      </c>
      <c r="D142" s="228"/>
      <c r="E142" s="229">
        <f>'Unit Data from Audit Worksheet'!F165</f>
        <v>0</v>
      </c>
      <c r="F142" s="222">
        <f>IF(L142&lt;0,"Error: Enter as a positive.",)</f>
        <v>0</v>
      </c>
      <c r="G142" s="224"/>
      <c r="H142" s="221"/>
      <c r="I142" s="32"/>
      <c r="J142" s="220">
        <v>101</v>
      </c>
      <c r="K142" s="219" t="s">
        <v>241</v>
      </c>
      <c r="L142" s="287">
        <f t="shared" si="15"/>
        <v>0</v>
      </c>
      <c r="P142" s="194"/>
      <c r="X142" s="549">
        <v>101</v>
      </c>
      <c r="Y142" s="284">
        <v>101</v>
      </c>
      <c r="AA142" s="384">
        <f t="shared" si="16"/>
        <v>0</v>
      </c>
      <c r="AB142" s="284">
        <f t="shared" si="17"/>
        <v>0</v>
      </c>
    </row>
    <row r="143" spans="1:28" ht="60.75" customHeight="1" x14ac:dyDescent="0.3">
      <c r="A143" s="210">
        <f>'Unit Data from Audit Worksheet'!A166</f>
        <v>100</v>
      </c>
      <c r="B143" s="223" t="str">
        <f>'Unit Data from Audit Worksheet'!C166</f>
        <v>Electric Fund Cash Flow Statement</v>
      </c>
      <c r="C143" s="209" t="str">
        <f>'Unit Data from Audit Worksheet'!D166</f>
        <v>Principal paid on long-term debt.  Amount should be reduced by principal payments for debt refunding.</v>
      </c>
      <c r="D143" s="228"/>
      <c r="E143" s="229">
        <f>'Unit Data from Audit Worksheet'!F166</f>
        <v>0</v>
      </c>
      <c r="F143" s="222">
        <f>IF(L143&lt;0,"Error: Enter as a positive.",)</f>
        <v>0</v>
      </c>
      <c r="G143" s="224"/>
      <c r="H143" s="221"/>
      <c r="I143" s="32"/>
      <c r="J143" s="220">
        <v>100</v>
      </c>
      <c r="K143" s="219" t="s">
        <v>242</v>
      </c>
      <c r="L143" s="287">
        <f t="shared" si="15"/>
        <v>0</v>
      </c>
      <c r="P143" s="194"/>
      <c r="X143" s="549">
        <v>100</v>
      </c>
      <c r="Y143" s="284">
        <v>100</v>
      </c>
      <c r="AA143" s="384">
        <f t="shared" si="16"/>
        <v>0</v>
      </c>
      <c r="AB143" s="284">
        <f t="shared" si="17"/>
        <v>0</v>
      </c>
    </row>
    <row r="144" spans="1:28" s="384" customFormat="1" ht="95.4" customHeight="1" x14ac:dyDescent="0.3">
      <c r="A144" s="210">
        <f>'Unit Data from Audit Worksheet'!A168</f>
        <v>1060</v>
      </c>
      <c r="B144" s="223">
        <f>'Unit Data from Audit Worksheet'!C168</f>
        <v>0</v>
      </c>
      <c r="C144" s="209" t="str">
        <f>'Unit Data from Audit Worksheet'!D168</f>
        <v>Total American Rescue Plan Act (ARPA) of 2021-Coronavrius State &amp; Local Fiscal Recovery Funds actually expended since inception as of June 30th.  Do not include encumbered funds in this number.</v>
      </c>
      <c r="D144" s="228"/>
      <c r="E144" s="229">
        <f>'Unit Data from Audit Worksheet'!F168</f>
        <v>0</v>
      </c>
      <c r="F144" s="222"/>
      <c r="G144" s="224"/>
      <c r="H144" s="221"/>
      <c r="I144" s="32"/>
      <c r="J144" s="220">
        <v>1060</v>
      </c>
      <c r="K144" s="209" t="s">
        <v>1440</v>
      </c>
      <c r="L144" s="287">
        <f t="shared" si="15"/>
        <v>0</v>
      </c>
      <c r="M144"/>
      <c r="P144" s="194"/>
      <c r="Q144" s="277"/>
      <c r="X144" s="549"/>
      <c r="Y144" s="284"/>
      <c r="AB144" s="284"/>
    </row>
    <row r="145" spans="1:28" s="384" customFormat="1" ht="85.95" customHeight="1" x14ac:dyDescent="0.3">
      <c r="A145" s="210">
        <f>'Unit Data from Audit Worksheet'!A169</f>
        <v>1061</v>
      </c>
      <c r="B145" s="223">
        <f>'Unit Data from Audit Worksheet'!C169</f>
        <v>0</v>
      </c>
      <c r="C145" s="209" t="str">
        <f>'Unit Data from Audit Worksheet'!D169</f>
        <v>Total American Rescue Plan Act (ARPA) of 2021-Coronavrius State &amp; Local Fiscal Recovery Funds encumbered or obligated and not yet expended since inception as of June 30th.</v>
      </c>
      <c r="D145" s="228"/>
      <c r="E145" s="229">
        <f>'Unit Data from Audit Worksheet'!F169</f>
        <v>0</v>
      </c>
      <c r="F145" s="222"/>
      <c r="G145" s="224"/>
      <c r="H145" s="221"/>
      <c r="I145" s="32"/>
      <c r="J145" s="220">
        <v>1061</v>
      </c>
      <c r="K145" s="209" t="s">
        <v>1524</v>
      </c>
      <c r="L145" s="287">
        <f t="shared" si="15"/>
        <v>0</v>
      </c>
      <c r="M145"/>
      <c r="P145" s="194"/>
      <c r="Q145" s="277"/>
      <c r="X145" s="549"/>
      <c r="Y145" s="284"/>
      <c r="AB145" s="284"/>
    </row>
    <row r="146" spans="1:28" s="384" customFormat="1" ht="81.599999999999994" customHeight="1" x14ac:dyDescent="0.3">
      <c r="A146" s="210">
        <f>'Unit Data from Audit Worksheet'!A170</f>
        <v>1062</v>
      </c>
      <c r="B146" s="223">
        <f>'Unit Data from Audit Worksheet'!C170</f>
        <v>0</v>
      </c>
      <c r="C146" s="209" t="str">
        <f>'Unit Data from Audit Worksheet'!D170</f>
        <v xml:space="preserve">Are the American Rescue Plan Act (ARPA) of 2021-Coronavrius State &amp; Local Fiscal Recovery Funds on target to be committed by December 31, 2024? (Yes = 1 or No = 2or N/A = 3 if unit did not receive funds) </v>
      </c>
      <c r="D146" s="228"/>
      <c r="E146" s="229">
        <f>'Unit Data from Audit Worksheet'!F170</f>
        <v>0</v>
      </c>
      <c r="F146" s="222"/>
      <c r="G146" s="222"/>
      <c r="H146" s="221"/>
      <c r="I146" s="32"/>
      <c r="J146" s="220">
        <v>1062</v>
      </c>
      <c r="K146" s="209" t="s">
        <v>1523</v>
      </c>
      <c r="L146" s="287">
        <f t="shared" si="15"/>
        <v>0</v>
      </c>
      <c r="M146"/>
      <c r="P146" s="194"/>
      <c r="Q146" s="277"/>
      <c r="X146" s="549"/>
      <c r="Y146" s="284"/>
      <c r="AB146" s="284"/>
    </row>
    <row r="147" spans="1:28" s="384" customFormat="1" ht="99.6" customHeight="1" x14ac:dyDescent="0.3">
      <c r="A147" s="210">
        <f>'Unit Data from Audit Worksheet'!A171</f>
        <v>1063</v>
      </c>
      <c r="B147" s="223">
        <f>'Unit Data from Audit Worksheet'!C171</f>
        <v>0</v>
      </c>
      <c r="C147" s="209" t="str">
        <f>'Unit Data from Audit Worksheet'!D171</f>
        <v>Are the American Rescue Plan Act (ARPA) of 2021-Coronavrius State &amp; Local Fiscal Recovery Funds on target to be completely expended by December 31, 2026? (Yes = 1 or No = 2 or N/A = 3 if unit did not receive funds)</v>
      </c>
      <c r="D147" s="228"/>
      <c r="E147" s="229">
        <f>'Unit Data from Audit Worksheet'!F171</f>
        <v>0</v>
      </c>
      <c r="F147" s="222"/>
      <c r="G147" s="224"/>
      <c r="H147" s="221"/>
      <c r="I147" s="32"/>
      <c r="J147" s="220">
        <v>1063</v>
      </c>
      <c r="K147" s="209" t="s">
        <v>1525</v>
      </c>
      <c r="L147" s="287">
        <f t="shared" si="15"/>
        <v>0</v>
      </c>
      <c r="M147"/>
      <c r="P147" s="194"/>
      <c r="Q147" s="277"/>
      <c r="X147" s="549"/>
      <c r="Y147" s="284"/>
      <c r="AB147" s="284"/>
    </row>
    <row r="148" spans="1:28" ht="71.25" customHeight="1" x14ac:dyDescent="0.3">
      <c r="A148" s="210">
        <f>'Unit Data from Audit Worksheet'!A173</f>
        <v>512</v>
      </c>
      <c r="B148" s="223" t="str">
        <f>'Unit Data from Audit Worksheet'!C173</f>
        <v>Fiduciary Statements</v>
      </c>
      <c r="C148" s="209" t="str">
        <f>'Unit Data from Audit Worksheet'!D173</f>
        <v>Cash and investments.  
Include:  unrestricted and restricted.  
                   cash and investments held 
                   by a third party</v>
      </c>
      <c r="D148" s="228"/>
      <c r="E148" s="229">
        <f>'Unit Data from Audit Worksheet'!F173</f>
        <v>0</v>
      </c>
      <c r="F148" s="222">
        <f>IF(L148&lt;0,"Error: Number is normally positive.",)</f>
        <v>0</v>
      </c>
      <c r="G148" s="224"/>
      <c r="H148" s="221"/>
      <c r="I148" s="32"/>
      <c r="J148" s="220">
        <v>512</v>
      </c>
      <c r="K148" s="219" t="s">
        <v>243</v>
      </c>
      <c r="L148" s="287">
        <f t="shared" si="15"/>
        <v>0</v>
      </c>
      <c r="P148" s="194"/>
      <c r="X148" s="549">
        <v>512</v>
      </c>
      <c r="Y148" s="284">
        <v>512</v>
      </c>
      <c r="AA148" s="384">
        <f t="shared" si="16"/>
        <v>0</v>
      </c>
      <c r="AB148" s="284">
        <f t="shared" si="17"/>
        <v>0</v>
      </c>
    </row>
    <row r="149" spans="1:28" ht="62.25" customHeight="1" x14ac:dyDescent="0.3">
      <c r="A149" s="210">
        <f>'Unit Data from Audit Worksheet'!A175</f>
        <v>656</v>
      </c>
      <c r="B149" s="223">
        <f>'Unit Data from Audit Worksheet'!C175</f>
        <v>0</v>
      </c>
      <c r="C149" s="209" t="str">
        <f>'Unit Data from Audit Worksheet'!D175</f>
        <v>Do you use prepared food/occupancy tax revenue stream to support debt?  Select "1" for Yes and "2" for No from drop down list.</v>
      </c>
      <c r="D149" s="129"/>
      <c r="E149" s="229">
        <f>'Unit Data from Audit Worksheet'!F175</f>
        <v>0</v>
      </c>
      <c r="F149" s="222"/>
      <c r="G149" s="224"/>
      <c r="H149" s="221"/>
      <c r="I149" s="32"/>
      <c r="J149" s="220">
        <v>656</v>
      </c>
      <c r="K149" s="226" t="s">
        <v>419</v>
      </c>
      <c r="L149" s="311">
        <f>E149</f>
        <v>0</v>
      </c>
      <c r="N149" s="18"/>
      <c r="O149" s="18"/>
      <c r="P149" s="194"/>
      <c r="X149" s="549">
        <v>656</v>
      </c>
      <c r="Y149" s="284">
        <v>656</v>
      </c>
      <c r="AA149" s="384">
        <f t="shared" si="16"/>
        <v>0</v>
      </c>
      <c r="AB149" s="284">
        <f t="shared" si="17"/>
        <v>0</v>
      </c>
    </row>
    <row r="150" spans="1:28" s="18" customFormat="1" ht="102.75" customHeight="1" x14ac:dyDescent="0.3">
      <c r="A150" s="210">
        <f>'Unit Data from Audit Worksheet'!A177</f>
        <v>535</v>
      </c>
      <c r="B150" s="223" t="str">
        <f>'Unit Data from Audit Worksheet'!C177</f>
        <v>Cash and Investment Note</v>
      </c>
      <c r="C150" s="209" t="str">
        <f>'Unit Data from Audit Worksheet'!D177</f>
        <v>Cash and Investment - Please list the book value of any unspent debt proceeds (bonds, installment, etc.) in any funds as of June 30.  This information may be on the face of your statements or in the notes</v>
      </c>
      <c r="D150" s="228"/>
      <c r="E150" s="229">
        <f>'Unit Data from Audit Worksheet'!F177</f>
        <v>0</v>
      </c>
      <c r="F150" s="80" t="str">
        <f>IF(L150&gt;1,,"Reminder: Please make sure you have entered all cash and investments from bond proceeds, if applicable")</f>
        <v>Reminder: Please make sure you have entered all cash and investments from bond proceeds, if applicable</v>
      </c>
      <c r="G150" s="224"/>
      <c r="H150" s="221"/>
      <c r="I150" s="32"/>
      <c r="J150" s="220">
        <v>535</v>
      </c>
      <c r="K150" s="55" t="s">
        <v>244</v>
      </c>
      <c r="L150" s="287">
        <f t="shared" si="15"/>
        <v>0</v>
      </c>
      <c r="M150"/>
      <c r="P150" s="194"/>
      <c r="Q150" s="277"/>
      <c r="R150" s="3"/>
      <c r="S150" s="3"/>
      <c r="T150" s="3"/>
      <c r="U150" s="3"/>
      <c r="V150" s="3"/>
      <c r="W150" s="3"/>
      <c r="X150" s="549">
        <v>535</v>
      </c>
      <c r="Y150" s="284">
        <v>535</v>
      </c>
      <c r="Z150" s="3"/>
      <c r="AA150" s="384">
        <f t="shared" si="16"/>
        <v>0</v>
      </c>
      <c r="AB150" s="284">
        <f t="shared" si="17"/>
        <v>0</v>
      </c>
    </row>
    <row r="151" spans="1:28" ht="45.75" customHeight="1" x14ac:dyDescent="0.3">
      <c r="A151" s="210">
        <f>'Unit Data from Audit Worksheet'!A181</f>
        <v>334</v>
      </c>
      <c r="B151" s="223" t="str">
        <f>'Unit Data from Audit Worksheet'!C181</f>
        <v>Gov.-Capital Assets Schedule in the Notes</v>
      </c>
      <c r="C151" s="209" t="str">
        <f>'Unit Data from Audit Worksheet'!D181</f>
        <v>Gross value.  
Exclude non-depreciable.</v>
      </c>
      <c r="D151" s="228"/>
      <c r="E151" s="229">
        <f>'Unit Data from Audit Worksheet'!F181</f>
        <v>0</v>
      </c>
      <c r="F151" s="80"/>
      <c r="G151" s="224"/>
      <c r="H151" s="221"/>
      <c r="I151" s="32"/>
      <c r="J151" s="220">
        <v>334</v>
      </c>
      <c r="K151" s="55" t="s">
        <v>261</v>
      </c>
      <c r="L151" s="287">
        <f t="shared" si="15"/>
        <v>0</v>
      </c>
      <c r="P151" s="194"/>
      <c r="X151" s="549">
        <v>334</v>
      </c>
      <c r="Y151" s="284">
        <v>334</v>
      </c>
      <c r="AA151" s="384">
        <f t="shared" si="16"/>
        <v>0</v>
      </c>
      <c r="AB151" s="284">
        <f t="shared" si="17"/>
        <v>0</v>
      </c>
    </row>
    <row r="152" spans="1:28" ht="57" customHeight="1" x14ac:dyDescent="0.3">
      <c r="A152" s="210">
        <f>'Unit Data from Audit Worksheet'!A182</f>
        <v>373</v>
      </c>
      <c r="B152" s="223" t="str">
        <f>'Unit Data from Audit Worksheet'!C182</f>
        <v>Gov.-Capital Assets Schedule in the Notes</v>
      </c>
      <c r="C152" s="209" t="str">
        <f>'Unit Data from Audit Worksheet'!D182</f>
        <v>Accumulated depreciation</v>
      </c>
      <c r="D152" s="228"/>
      <c r="E152" s="229">
        <f>'Unit Data from Audit Worksheet'!F182</f>
        <v>0</v>
      </c>
      <c r="F152" s="80"/>
      <c r="G152" s="224"/>
      <c r="H152" s="221"/>
      <c r="I152" s="32"/>
      <c r="J152" s="220">
        <v>373</v>
      </c>
      <c r="K152" s="52" t="s">
        <v>302</v>
      </c>
      <c r="L152" s="287">
        <f t="shared" si="15"/>
        <v>0</v>
      </c>
      <c r="P152" s="194"/>
      <c r="X152" s="549">
        <v>373</v>
      </c>
      <c r="Y152" s="284">
        <v>373</v>
      </c>
      <c r="AA152" s="384">
        <f t="shared" si="16"/>
        <v>0</v>
      </c>
      <c r="AB152" s="284">
        <f t="shared" si="17"/>
        <v>0</v>
      </c>
    </row>
    <row r="153" spans="1:28" ht="102.75" customHeight="1" x14ac:dyDescent="0.3">
      <c r="A153" s="210">
        <f>'Unit Data from Audit Worksheet'!A183</f>
        <v>987</v>
      </c>
      <c r="B153" s="223">
        <f>'Unit Data from Audit Worksheet'!C183</f>
        <v>0</v>
      </c>
      <c r="C153" s="209" t="str">
        <f>'Unit Data from Audit Worksheet'!D183</f>
        <v xml:space="preserve">Estimated cost not yet budgeted of any mandate placed on unit by DEQ, a court order or some similar requirement (that has no realistic appeal path). </v>
      </c>
      <c r="D153" s="228"/>
      <c r="E153" s="229">
        <f>'Unit Data from Audit Worksheet'!F183</f>
        <v>0</v>
      </c>
      <c r="F153" s="80"/>
      <c r="G153" s="224"/>
      <c r="H153" s="221"/>
      <c r="I153" s="32"/>
      <c r="J153" s="220">
        <v>987</v>
      </c>
      <c r="K153" s="52" t="s">
        <v>634</v>
      </c>
      <c r="L153" s="293">
        <f t="shared" si="15"/>
        <v>0</v>
      </c>
      <c r="P153" s="194"/>
      <c r="X153" s="549">
        <v>987</v>
      </c>
      <c r="Y153" s="284">
        <v>987</v>
      </c>
      <c r="AA153" s="384">
        <f t="shared" si="16"/>
        <v>0</v>
      </c>
      <c r="AB153" s="284">
        <f t="shared" si="17"/>
        <v>0</v>
      </c>
    </row>
    <row r="154" spans="1:28" ht="69" customHeight="1" x14ac:dyDescent="0.3">
      <c r="A154" s="210">
        <f>'Unit Data from Audit Worksheet'!A184</f>
        <v>988</v>
      </c>
      <c r="B154" s="223">
        <f>'Unit Data from Audit Worksheet'!C184</f>
        <v>0</v>
      </c>
      <c r="C154" s="209" t="str">
        <f>'Unit Data from Audit Worksheet'!D184</f>
        <v>Do you operate a landfill that will be closing  or have a significant portion closing within the next 5 years?  Select "1" for Yes and "2" for No</v>
      </c>
      <c r="D154" s="228"/>
      <c r="E154" s="229">
        <f>'Unit Data from Audit Worksheet'!F184</f>
        <v>0</v>
      </c>
      <c r="F154" s="80"/>
      <c r="G154" s="224"/>
      <c r="H154" s="221"/>
      <c r="I154" s="32"/>
      <c r="J154" s="220">
        <v>988</v>
      </c>
      <c r="K154" s="52" t="s">
        <v>858</v>
      </c>
      <c r="L154" s="293">
        <f t="shared" si="15"/>
        <v>0</v>
      </c>
      <c r="P154" s="194"/>
      <c r="X154" s="549">
        <v>988</v>
      </c>
      <c r="Y154" s="284">
        <v>988</v>
      </c>
      <c r="AA154" s="384">
        <f t="shared" si="16"/>
        <v>0</v>
      </c>
      <c r="AB154" s="284">
        <f t="shared" si="17"/>
        <v>0</v>
      </c>
    </row>
    <row r="155" spans="1:28" ht="95.25" customHeight="1" x14ac:dyDescent="0.3">
      <c r="A155" s="210">
        <f>'Unit Data from Audit Worksheet'!A185</f>
        <v>989</v>
      </c>
      <c r="B155" s="223">
        <f>'Unit Data from Audit Worksheet'!C185</f>
        <v>0</v>
      </c>
      <c r="C155" s="209" t="str">
        <f>'Unit Data from Audit Worksheet'!D185</f>
        <v>If you answered "yes" to question #988 above, will you have the closure/postclosure cost fully funded by the date of closure?  Select "1" for Yes,  "2" for No, or "3" for N/A.</v>
      </c>
      <c r="D155" s="228"/>
      <c r="E155" s="229">
        <f>'Unit Data from Audit Worksheet'!F185</f>
        <v>0</v>
      </c>
      <c r="F155" s="80"/>
      <c r="G155" s="224"/>
      <c r="H155" s="221"/>
      <c r="I155" s="32"/>
      <c r="J155" s="220">
        <v>989</v>
      </c>
      <c r="K155" s="52" t="s">
        <v>794</v>
      </c>
      <c r="L155" s="293">
        <f t="shared" si="15"/>
        <v>0</v>
      </c>
      <c r="P155" s="194"/>
      <c r="X155" s="549">
        <v>989</v>
      </c>
      <c r="Y155" s="284">
        <v>989</v>
      </c>
      <c r="AA155" s="384">
        <f t="shared" si="16"/>
        <v>0</v>
      </c>
      <c r="AB155" s="284">
        <f t="shared" si="17"/>
        <v>0</v>
      </c>
    </row>
    <row r="156" spans="1:28" ht="57" customHeight="1" x14ac:dyDescent="0.3">
      <c r="A156" s="210">
        <f>'Unit Data from Audit Worksheet'!A189</f>
        <v>327</v>
      </c>
      <c r="B156" s="223" t="str">
        <f>'Unit Data from Audit Worksheet'!C189</f>
        <v>WS-Capital Assets Schedule in the Notes</v>
      </c>
      <c r="C156" s="209" t="str">
        <f>'Unit Data from Audit Worksheet'!D189</f>
        <v>Land and all other non depreciable capital assets 
Exclude construction in progress</v>
      </c>
      <c r="D156" s="228"/>
      <c r="E156" s="229">
        <f>'Unit Data from Audit Worksheet'!F189</f>
        <v>0</v>
      </c>
      <c r="F156" s="80"/>
      <c r="G156" s="224"/>
      <c r="H156" s="221"/>
      <c r="I156" s="32"/>
      <c r="J156" s="220">
        <v>327</v>
      </c>
      <c r="K156" s="52" t="s">
        <v>303</v>
      </c>
      <c r="L156" s="287">
        <f t="shared" si="15"/>
        <v>0</v>
      </c>
      <c r="P156" s="194"/>
      <c r="X156" s="549">
        <v>327</v>
      </c>
      <c r="Y156" s="284">
        <v>327</v>
      </c>
      <c r="AA156" s="384">
        <f t="shared" si="16"/>
        <v>0</v>
      </c>
      <c r="AB156" s="284">
        <f t="shared" si="17"/>
        <v>0</v>
      </c>
    </row>
    <row r="157" spans="1:28" ht="57" customHeight="1" x14ac:dyDescent="0.3">
      <c r="A157" s="210">
        <f>'Unit Data from Audit Worksheet'!A190</f>
        <v>328</v>
      </c>
      <c r="B157" s="223" t="str">
        <f>'Unit Data from Audit Worksheet'!C190</f>
        <v>WS-Capital Assets Schedule in the Notes</v>
      </c>
      <c r="C157" s="209" t="str">
        <f>'Unit Data from Audit Worksheet'!D190</f>
        <v>Construction in progress</v>
      </c>
      <c r="D157" s="228"/>
      <c r="E157" s="229">
        <f>'Unit Data from Audit Worksheet'!F190</f>
        <v>0</v>
      </c>
      <c r="F157" s="80"/>
      <c r="G157" s="224"/>
      <c r="H157" s="221"/>
      <c r="I157" s="32"/>
      <c r="J157" s="220">
        <v>328</v>
      </c>
      <c r="K157" s="52" t="s">
        <v>304</v>
      </c>
      <c r="L157" s="287">
        <f t="shared" si="15"/>
        <v>0</v>
      </c>
      <c r="P157" s="194"/>
      <c r="X157" s="549">
        <v>328</v>
      </c>
      <c r="Y157" s="284">
        <v>328</v>
      </c>
      <c r="AA157" s="384">
        <f t="shared" si="16"/>
        <v>0</v>
      </c>
      <c r="AB157" s="284">
        <f t="shared" si="17"/>
        <v>0</v>
      </c>
    </row>
    <row r="158" spans="1:28" ht="46.5" customHeight="1" x14ac:dyDescent="0.3">
      <c r="A158" s="210">
        <f>'Unit Data from Audit Worksheet'!A194</f>
        <v>515</v>
      </c>
      <c r="B158" s="223" t="str">
        <f>'Unit Data from Audit Worksheet'!C194</f>
        <v>WS Capital Assets Schedule-Gross Value</v>
      </c>
      <c r="C158" s="209" t="str">
        <f>'Unit Data from Audit Worksheet'!D194</f>
        <v>Buildings</v>
      </c>
      <c r="D158" s="228"/>
      <c r="E158" s="229">
        <f>'Unit Data from Audit Worksheet'!F194</f>
        <v>0</v>
      </c>
      <c r="F158" s="80"/>
      <c r="G158" s="224"/>
      <c r="H158" s="221"/>
      <c r="I158" s="32"/>
      <c r="J158" s="220">
        <v>515</v>
      </c>
      <c r="K158" s="52" t="s">
        <v>262</v>
      </c>
      <c r="L158" s="287">
        <f t="shared" si="15"/>
        <v>0</v>
      </c>
      <c r="P158" s="194"/>
      <c r="X158" s="549">
        <v>515</v>
      </c>
      <c r="Y158" s="284">
        <v>515</v>
      </c>
      <c r="AA158" s="384">
        <f t="shared" si="16"/>
        <v>0</v>
      </c>
      <c r="AB158" s="284">
        <f t="shared" si="17"/>
        <v>0</v>
      </c>
    </row>
    <row r="159" spans="1:28" ht="46.5" customHeight="1" x14ac:dyDescent="0.3">
      <c r="A159" s="210">
        <f>'Unit Data from Audit Worksheet'!A195</f>
        <v>516</v>
      </c>
      <c r="B159" s="223" t="str">
        <f>'Unit Data from Audit Worksheet'!C195</f>
        <v>WS Capital Assets Schedule-Gross Value</v>
      </c>
      <c r="C159" s="209" t="str">
        <f>'Unit Data from Audit Worksheet'!D195</f>
        <v>Plant / distributions systems / water lines</v>
      </c>
      <c r="D159" s="228"/>
      <c r="E159" s="229">
        <f>'Unit Data from Audit Worksheet'!F195</f>
        <v>0</v>
      </c>
      <c r="F159" s="80"/>
      <c r="G159" s="224"/>
      <c r="H159" s="221"/>
      <c r="I159" s="32"/>
      <c r="J159" s="220">
        <v>516</v>
      </c>
      <c r="K159" s="52" t="s">
        <v>263</v>
      </c>
      <c r="L159" s="287">
        <f t="shared" si="15"/>
        <v>0</v>
      </c>
      <c r="P159" s="194"/>
      <c r="X159" s="549">
        <v>516</v>
      </c>
      <c r="Y159" s="284">
        <v>516</v>
      </c>
      <c r="AA159" s="384">
        <f t="shared" si="16"/>
        <v>0</v>
      </c>
      <c r="AB159" s="284">
        <f t="shared" si="17"/>
        <v>0</v>
      </c>
    </row>
    <row r="160" spans="1:28" ht="46.5" customHeight="1" x14ac:dyDescent="0.3">
      <c r="A160" s="210">
        <f>'Unit Data from Audit Worksheet'!A196</f>
        <v>517</v>
      </c>
      <c r="B160" s="223" t="str">
        <f>'Unit Data from Audit Worksheet'!C196</f>
        <v>WS Capital Assets Schedule-Gross Value</v>
      </c>
      <c r="C160" s="209" t="str">
        <f>'Unit Data from Audit Worksheet'!D196</f>
        <v>Infrastructure(other infrastructure)</v>
      </c>
      <c r="D160" s="228"/>
      <c r="E160" s="229">
        <f>'Unit Data from Audit Worksheet'!F196</f>
        <v>0</v>
      </c>
      <c r="F160" s="80"/>
      <c r="G160" s="224"/>
      <c r="H160" s="221"/>
      <c r="I160" s="32"/>
      <c r="J160" s="220">
        <v>517</v>
      </c>
      <c r="K160" s="312" t="s">
        <v>264</v>
      </c>
      <c r="L160" s="287">
        <f t="shared" si="15"/>
        <v>0</v>
      </c>
      <c r="P160" s="194"/>
      <c r="X160" s="549">
        <v>517</v>
      </c>
      <c r="Y160" s="284">
        <v>517</v>
      </c>
      <c r="AA160" s="384">
        <f t="shared" si="16"/>
        <v>0</v>
      </c>
      <c r="AB160" s="284">
        <f t="shared" si="17"/>
        <v>0</v>
      </c>
    </row>
    <row r="161" spans="1:28" ht="46.5" customHeight="1" x14ac:dyDescent="0.3">
      <c r="A161" s="210">
        <f>'Unit Data from Audit Worksheet'!A197</f>
        <v>518</v>
      </c>
      <c r="B161" s="223" t="str">
        <f>'Unit Data from Audit Worksheet'!C197</f>
        <v>WS Capital Assets Schedule-Gross Value</v>
      </c>
      <c r="C161" s="209" t="str">
        <f>'Unit Data from Audit Worksheet'!D197</f>
        <v>All other depreciable capital assets</v>
      </c>
      <c r="D161" s="228"/>
      <c r="E161" s="229">
        <f>'Unit Data from Audit Worksheet'!F197</f>
        <v>0</v>
      </c>
      <c r="F161" s="80"/>
      <c r="G161" s="224"/>
      <c r="H161" s="221"/>
      <c r="I161" s="32"/>
      <c r="J161" s="220">
        <v>518</v>
      </c>
      <c r="K161" s="312" t="s">
        <v>265</v>
      </c>
      <c r="L161" s="287">
        <f t="shared" si="15"/>
        <v>0</v>
      </c>
      <c r="P161" s="194"/>
      <c r="X161" s="549">
        <v>518</v>
      </c>
      <c r="Y161" s="284">
        <v>518</v>
      </c>
      <c r="AA161" s="384">
        <f t="shared" si="16"/>
        <v>0</v>
      </c>
      <c r="AB161" s="284">
        <f t="shared" si="17"/>
        <v>0</v>
      </c>
    </row>
    <row r="162" spans="1:28" ht="52.5" customHeight="1" x14ac:dyDescent="0.3">
      <c r="A162" s="210">
        <f>'Unit Data from Audit Worksheet'!A200</f>
        <v>519</v>
      </c>
      <c r="B162" s="223" t="str">
        <f>'Unit Data from Audit Worksheet'!C200</f>
        <v>WS Capital Assets Schedule-Annual Depreciation</v>
      </c>
      <c r="C162" s="209" t="str">
        <f>'Unit Data from Audit Worksheet'!D200</f>
        <v>Buildings annual depreciation</v>
      </c>
      <c r="D162" s="228"/>
      <c r="E162" s="229">
        <f>'Unit Data from Audit Worksheet'!F200</f>
        <v>0</v>
      </c>
      <c r="F162" s="80"/>
      <c r="G162" s="224"/>
      <c r="H162" s="221"/>
      <c r="I162" s="32"/>
      <c r="J162" s="220">
        <v>519</v>
      </c>
      <c r="K162" s="312" t="s">
        <v>266</v>
      </c>
      <c r="L162" s="287">
        <f t="shared" si="15"/>
        <v>0</v>
      </c>
      <c r="P162" s="315"/>
      <c r="X162" s="549">
        <v>519</v>
      </c>
      <c r="Y162" s="284">
        <v>519</v>
      </c>
      <c r="AA162" s="384">
        <f t="shared" si="16"/>
        <v>0</v>
      </c>
      <c r="AB162" s="284">
        <f t="shared" si="17"/>
        <v>0</v>
      </c>
    </row>
    <row r="163" spans="1:28" ht="52.5" customHeight="1" x14ac:dyDescent="0.3">
      <c r="A163" s="210">
        <f>'Unit Data from Audit Worksheet'!A201</f>
        <v>520</v>
      </c>
      <c r="B163" s="223" t="str">
        <f>'Unit Data from Audit Worksheet'!C201</f>
        <v>WS Capital Assets Schedule-Annual Depreciation</v>
      </c>
      <c r="C163" s="209" t="str">
        <f>'Unit Data from Audit Worksheet'!D201</f>
        <v>Plant / distributions systems / water lines annual depreciation</v>
      </c>
      <c r="D163" s="228"/>
      <c r="E163" s="229">
        <f>'Unit Data from Audit Worksheet'!F201</f>
        <v>0</v>
      </c>
      <c r="F163" s="80"/>
      <c r="G163" s="224"/>
      <c r="H163" s="221"/>
      <c r="I163" s="32"/>
      <c r="J163" s="220">
        <v>520</v>
      </c>
      <c r="K163" s="312" t="s">
        <v>267</v>
      </c>
      <c r="L163" s="287">
        <f t="shared" si="15"/>
        <v>0</v>
      </c>
      <c r="P163" s="318"/>
      <c r="Q163" s="316"/>
      <c r="X163" s="549">
        <v>520</v>
      </c>
      <c r="Y163" s="284">
        <v>520</v>
      </c>
      <c r="AA163" s="384">
        <f t="shared" si="16"/>
        <v>0</v>
      </c>
      <c r="AB163" s="284">
        <f t="shared" si="17"/>
        <v>0</v>
      </c>
    </row>
    <row r="164" spans="1:28" ht="52.5" customHeight="1" x14ac:dyDescent="0.3">
      <c r="A164" s="210">
        <f>'Unit Data from Audit Worksheet'!A202</f>
        <v>521</v>
      </c>
      <c r="B164" s="223" t="str">
        <f>'Unit Data from Audit Worksheet'!C202</f>
        <v>WS Capital Assets Schedule-Annual Depreciation</v>
      </c>
      <c r="C164" s="209" t="str">
        <f>'Unit Data from Audit Worksheet'!D202</f>
        <v>Infrastructure(other infrastructure) annual depreciation</v>
      </c>
      <c r="D164" s="228"/>
      <c r="E164" s="229">
        <f>'Unit Data from Audit Worksheet'!F202</f>
        <v>0</v>
      </c>
      <c r="F164" s="80"/>
      <c r="G164" s="224"/>
      <c r="H164" s="221"/>
      <c r="I164" s="32"/>
      <c r="J164" s="220">
        <v>521</v>
      </c>
      <c r="K164" s="52" t="s">
        <v>268</v>
      </c>
      <c r="L164" s="287">
        <f t="shared" si="15"/>
        <v>0</v>
      </c>
      <c r="P164" s="194"/>
      <c r="Q164" s="186"/>
      <c r="X164" s="549">
        <v>521</v>
      </c>
      <c r="Y164" s="284">
        <v>521</v>
      </c>
      <c r="AA164" s="384">
        <f t="shared" si="16"/>
        <v>0</v>
      </c>
      <c r="AB164" s="284">
        <f t="shared" si="17"/>
        <v>0</v>
      </c>
    </row>
    <row r="165" spans="1:28" ht="42.75" customHeight="1" x14ac:dyDescent="0.3">
      <c r="A165" s="210">
        <f>'Unit Data from Audit Worksheet'!A203</f>
        <v>522</v>
      </c>
      <c r="B165" s="223" t="str">
        <f>'Unit Data from Audit Worksheet'!C203</f>
        <v>WS Capital Assets Schedule-Annual Depreciation</v>
      </c>
      <c r="C165" s="209" t="str">
        <f>'Unit Data from Audit Worksheet'!D203</f>
        <v>All other depreciable capital assets annual depreciation</v>
      </c>
      <c r="D165" s="228"/>
      <c r="E165" s="229">
        <f>'Unit Data from Audit Worksheet'!F203</f>
        <v>0</v>
      </c>
      <c r="F165" s="80"/>
      <c r="G165" s="224"/>
      <c r="H165" s="221"/>
      <c r="I165" s="32"/>
      <c r="J165" s="220">
        <v>522</v>
      </c>
      <c r="K165" s="52" t="s">
        <v>269</v>
      </c>
      <c r="L165" s="287">
        <f t="shared" si="15"/>
        <v>0</v>
      </c>
      <c r="P165" s="315"/>
      <c r="S165" s="18"/>
      <c r="T165" s="18"/>
      <c r="U165" s="18"/>
      <c r="V165" s="18"/>
      <c r="X165" s="549">
        <v>522</v>
      </c>
      <c r="Y165" s="284">
        <v>522</v>
      </c>
      <c r="Z165" s="18"/>
      <c r="AA165" s="384">
        <f t="shared" si="16"/>
        <v>0</v>
      </c>
      <c r="AB165" s="284">
        <f t="shared" si="17"/>
        <v>0</v>
      </c>
    </row>
    <row r="166" spans="1:28" ht="42.75" customHeight="1" x14ac:dyDescent="0.3">
      <c r="A166" s="210">
        <f>'Unit Data from Audit Worksheet'!A206</f>
        <v>523</v>
      </c>
      <c r="B166" s="223" t="str">
        <f>'Unit Data from Audit Worksheet'!C206</f>
        <v>WS Capital Assets Schedule-Accumulated Depreciation</v>
      </c>
      <c r="C166" s="209" t="str">
        <f>'Unit Data from Audit Worksheet'!D206</f>
        <v>Building accumulated depreciation</v>
      </c>
      <c r="D166" s="228"/>
      <c r="E166" s="229">
        <f>'Unit Data from Audit Worksheet'!F206</f>
        <v>0</v>
      </c>
      <c r="F166" s="80"/>
      <c r="G166" s="224"/>
      <c r="H166" s="221"/>
      <c r="I166" s="32"/>
      <c r="J166" s="220">
        <v>523</v>
      </c>
      <c r="K166" s="52" t="s">
        <v>270</v>
      </c>
      <c r="L166" s="287">
        <f t="shared" si="15"/>
        <v>0</v>
      </c>
      <c r="P166" s="315"/>
      <c r="S166" s="18"/>
      <c r="T166" s="18"/>
      <c r="U166" s="18"/>
      <c r="V166" s="18"/>
      <c r="X166" s="549">
        <v>523</v>
      </c>
      <c r="Y166" s="284">
        <v>523</v>
      </c>
      <c r="Z166" s="18"/>
      <c r="AA166" s="384">
        <f t="shared" si="16"/>
        <v>0</v>
      </c>
      <c r="AB166" s="284">
        <f t="shared" si="17"/>
        <v>0</v>
      </c>
    </row>
    <row r="167" spans="1:28" ht="51" customHeight="1" x14ac:dyDescent="0.3">
      <c r="A167" s="210">
        <f>'Unit Data from Audit Worksheet'!A207</f>
        <v>524</v>
      </c>
      <c r="B167" s="223" t="str">
        <f>'Unit Data from Audit Worksheet'!C207</f>
        <v>WS Capital Assets Schedule-Accumulated Depreciation</v>
      </c>
      <c r="C167" s="209" t="str">
        <f>'Unit Data from Audit Worksheet'!D207</f>
        <v>Plant / distributions systems / water lines accumulated depreciation</v>
      </c>
      <c r="D167" s="228"/>
      <c r="E167" s="229">
        <f>'Unit Data from Audit Worksheet'!F207</f>
        <v>0</v>
      </c>
      <c r="F167" s="80"/>
      <c r="G167" s="224"/>
      <c r="H167" s="221"/>
      <c r="I167" s="32"/>
      <c r="J167" s="220">
        <v>524</v>
      </c>
      <c r="K167" s="52" t="s">
        <v>271</v>
      </c>
      <c r="L167" s="287">
        <f t="shared" si="15"/>
        <v>0</v>
      </c>
      <c r="P167" s="315"/>
      <c r="S167" s="18"/>
      <c r="T167" s="18"/>
      <c r="U167" s="18"/>
      <c r="V167" s="18"/>
      <c r="X167" s="549">
        <v>524</v>
      </c>
      <c r="Y167" s="284">
        <v>524</v>
      </c>
      <c r="Z167" s="18"/>
      <c r="AA167" s="384">
        <f t="shared" si="16"/>
        <v>0</v>
      </c>
      <c r="AB167" s="284">
        <f t="shared" si="17"/>
        <v>0</v>
      </c>
    </row>
    <row r="168" spans="1:28" ht="57.75" customHeight="1" x14ac:dyDescent="0.3">
      <c r="A168" s="210">
        <f>'Unit Data from Audit Worksheet'!A208</f>
        <v>525</v>
      </c>
      <c r="B168" s="223" t="str">
        <f>'Unit Data from Audit Worksheet'!C208</f>
        <v>WS Capital Assets Schedule-Accumulated Depreciation</v>
      </c>
      <c r="C168" s="209" t="str">
        <f>'Unit Data from Audit Worksheet'!D208</f>
        <v>Infrastructure(other infrastructure) accumulated depreciation</v>
      </c>
      <c r="D168" s="228"/>
      <c r="E168" s="229">
        <f>'Unit Data from Audit Worksheet'!F208</f>
        <v>0</v>
      </c>
      <c r="F168" s="80"/>
      <c r="G168" s="224"/>
      <c r="H168" s="221"/>
      <c r="I168" s="32"/>
      <c r="J168" s="220">
        <v>525</v>
      </c>
      <c r="K168" s="52" t="s">
        <v>272</v>
      </c>
      <c r="L168" s="287">
        <f t="shared" si="15"/>
        <v>0</v>
      </c>
      <c r="P168" s="200"/>
      <c r="Q168" s="316"/>
      <c r="X168" s="549">
        <v>525</v>
      </c>
      <c r="Y168" s="284">
        <v>525</v>
      </c>
      <c r="AA168" s="384">
        <f t="shared" si="16"/>
        <v>0</v>
      </c>
      <c r="AB168" s="284">
        <f t="shared" si="17"/>
        <v>0</v>
      </c>
    </row>
    <row r="169" spans="1:28" ht="48" customHeight="1" x14ac:dyDescent="0.3">
      <c r="A169" s="210">
        <f>'Unit Data from Audit Worksheet'!A209</f>
        <v>526</v>
      </c>
      <c r="B169" s="223" t="str">
        <f>'Unit Data from Audit Worksheet'!C209</f>
        <v>WS Capital Assets Schedule-Accumulated Depreciation</v>
      </c>
      <c r="C169" s="209" t="str">
        <f>'Unit Data from Audit Worksheet'!D209</f>
        <v>All other depreciable capital assets accumulated depreciation</v>
      </c>
      <c r="D169" s="228"/>
      <c r="E169" s="229">
        <f>'Unit Data from Audit Worksheet'!F209</f>
        <v>0</v>
      </c>
      <c r="F169" s="80"/>
      <c r="G169" s="224"/>
      <c r="H169" s="221"/>
      <c r="I169" s="32"/>
      <c r="J169" s="220">
        <v>526</v>
      </c>
      <c r="K169" s="52" t="s">
        <v>273</v>
      </c>
      <c r="L169" s="287">
        <f t="shared" si="15"/>
        <v>0</v>
      </c>
      <c r="P169" s="194"/>
      <c r="Q169" s="3"/>
      <c r="X169" s="549">
        <v>526</v>
      </c>
      <c r="Y169" s="284">
        <v>526</v>
      </c>
      <c r="AA169" s="384">
        <f t="shared" si="16"/>
        <v>0</v>
      </c>
      <c r="AB169" s="284">
        <f t="shared" si="17"/>
        <v>0</v>
      </c>
    </row>
    <row r="170" spans="1:28" ht="50.25" customHeight="1" x14ac:dyDescent="0.3">
      <c r="A170" s="210">
        <f>'Unit Data from Audit Worksheet'!A214</f>
        <v>527</v>
      </c>
      <c r="B170" s="223" t="str">
        <f>'Unit Data from Audit Worksheet'!C214</f>
        <v>Electric Assets</v>
      </c>
      <c r="C170" s="209" t="str">
        <f>'Unit Data from Audit Worksheet'!D214</f>
        <v>Total Assets Gross value not being depreciated for Electric Fund</v>
      </c>
      <c r="D170" s="228"/>
      <c r="E170" s="229">
        <f>'Unit Data from Audit Worksheet'!F214</f>
        <v>0</v>
      </c>
      <c r="F170" s="80"/>
      <c r="G170" s="224"/>
      <c r="H170" s="221"/>
      <c r="I170" s="32"/>
      <c r="J170" s="220">
        <v>527</v>
      </c>
      <c r="K170" s="52" t="s">
        <v>274</v>
      </c>
      <c r="L170" s="287">
        <f t="shared" si="15"/>
        <v>0</v>
      </c>
      <c r="P170" s="194"/>
      <c r="X170" s="549">
        <v>527</v>
      </c>
      <c r="Y170" s="284">
        <v>527</v>
      </c>
      <c r="AA170" s="384">
        <f t="shared" si="16"/>
        <v>0</v>
      </c>
      <c r="AB170" s="284">
        <f t="shared" si="17"/>
        <v>0</v>
      </c>
    </row>
    <row r="171" spans="1:28" ht="54.75" customHeight="1" x14ac:dyDescent="0.3">
      <c r="A171" s="210">
        <f>'Unit Data from Audit Worksheet'!A215</f>
        <v>356</v>
      </c>
      <c r="B171" s="223" t="str">
        <f>'Unit Data from Audit Worksheet'!C215</f>
        <v>Electric Assets</v>
      </c>
      <c r="C171" s="209" t="str">
        <f>'Unit Data from Audit Worksheet'!D215</f>
        <v>Total Assets Gross value of assets being depreciated for Electric Fund</v>
      </c>
      <c r="D171" s="228"/>
      <c r="E171" s="229">
        <f>'Unit Data from Audit Worksheet'!F215</f>
        <v>0</v>
      </c>
      <c r="F171" s="80"/>
      <c r="G171" s="224"/>
      <c r="H171" s="221"/>
      <c r="I171" s="32"/>
      <c r="J171" s="220">
        <v>356</v>
      </c>
      <c r="K171" s="52" t="s">
        <v>305</v>
      </c>
      <c r="L171" s="287">
        <f t="shared" si="15"/>
        <v>0</v>
      </c>
      <c r="P171" s="194"/>
      <c r="X171" s="549">
        <v>356</v>
      </c>
      <c r="Y171" s="284">
        <v>356</v>
      </c>
      <c r="AA171" s="384">
        <f t="shared" si="16"/>
        <v>0</v>
      </c>
      <c r="AB171" s="284">
        <f t="shared" si="17"/>
        <v>0</v>
      </c>
    </row>
    <row r="172" spans="1:28" ht="54.75" customHeight="1" x14ac:dyDescent="0.3">
      <c r="A172" s="210">
        <f>'Unit Data from Audit Worksheet'!A216</f>
        <v>357</v>
      </c>
      <c r="B172" s="223" t="str">
        <f>'Unit Data from Audit Worksheet'!C216</f>
        <v>Electric Accumulated Depreciation</v>
      </c>
      <c r="C172" s="209" t="str">
        <f>'Unit Data from Audit Worksheet'!D216</f>
        <v>Total accumulated depreciation for Electric Fund assets</v>
      </c>
      <c r="D172" s="228"/>
      <c r="E172" s="229">
        <f>'Unit Data from Audit Worksheet'!F216</f>
        <v>0</v>
      </c>
      <c r="F172" s="80"/>
      <c r="G172" s="224"/>
      <c r="H172" s="221"/>
      <c r="I172" s="32"/>
      <c r="J172" s="220">
        <v>357</v>
      </c>
      <c r="K172" s="52" t="s">
        <v>306</v>
      </c>
      <c r="L172" s="287">
        <f t="shared" si="15"/>
        <v>0</v>
      </c>
      <c r="P172" s="194"/>
      <c r="X172" s="549">
        <v>357</v>
      </c>
      <c r="Y172" s="284">
        <v>357</v>
      </c>
      <c r="AA172" s="384">
        <f t="shared" si="16"/>
        <v>0</v>
      </c>
      <c r="AB172" s="284">
        <f t="shared" si="17"/>
        <v>0</v>
      </c>
    </row>
    <row r="173" spans="1:28" ht="191.25" customHeight="1" x14ac:dyDescent="0.3">
      <c r="A173" s="210">
        <f>'Unit Data from Audit Worksheet'!A218</f>
        <v>337</v>
      </c>
      <c r="B173" s="223" t="str">
        <f>'Unit Data from Audit Worksheet'!C218</f>
        <v>Long-Term Liability Note - Governmental Activities</v>
      </c>
      <c r="C173" s="223" t="str">
        <f>'Unit Data from Audit Worksheet'!D218</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3" s="228"/>
      <c r="E173" s="229">
        <f>'Unit Data from Audit Worksheet'!F218</f>
        <v>0</v>
      </c>
      <c r="F173" s="222">
        <f>IF(L173&lt;0,"Error: Enter as a positive.",)</f>
        <v>0</v>
      </c>
      <c r="G173" s="224"/>
      <c r="H173" s="221"/>
      <c r="I173" s="32"/>
      <c r="J173" s="220">
        <v>337</v>
      </c>
      <c r="K173" s="219" t="s">
        <v>245</v>
      </c>
      <c r="L173" s="287">
        <f t="shared" si="15"/>
        <v>0</v>
      </c>
      <c r="P173" s="194"/>
      <c r="X173" s="549">
        <v>337</v>
      </c>
      <c r="Y173" s="284">
        <v>337</v>
      </c>
      <c r="AA173" s="384">
        <f t="shared" si="16"/>
        <v>0</v>
      </c>
      <c r="AB173" s="284">
        <f t="shared" si="17"/>
        <v>0</v>
      </c>
    </row>
    <row r="174" spans="1:28" ht="76.5" customHeight="1" x14ac:dyDescent="0.3">
      <c r="A174" s="210">
        <f>'Unit Data from Audit Worksheet'!A219</f>
        <v>343</v>
      </c>
      <c r="B174" s="223" t="str">
        <f>'Unit Data from Audit Worksheet'!C219</f>
        <v>Long-Term Liability Note - Governmental Activities</v>
      </c>
      <c r="C174" s="209" t="str">
        <f>'Unit Data from Audit Worksheet'!D219</f>
        <v>Decreases made (principal paid) on Long-Term Debt in current fiscal year.  Reduce for debt refunding.</v>
      </c>
      <c r="D174" s="228"/>
      <c r="E174" s="229">
        <f>'Unit Data from Audit Worksheet'!F219</f>
        <v>0</v>
      </c>
      <c r="F174" s="222">
        <f>IF(L174&lt;0,"Error: Enter as a positive.",)</f>
        <v>0</v>
      </c>
      <c r="G174" s="224"/>
      <c r="H174" s="221"/>
      <c r="I174" s="32"/>
      <c r="J174" s="220">
        <v>343</v>
      </c>
      <c r="K174" s="219" t="s">
        <v>246</v>
      </c>
      <c r="L174" s="287">
        <f t="shared" si="15"/>
        <v>0</v>
      </c>
      <c r="P174" s="194"/>
      <c r="X174" s="549">
        <v>343</v>
      </c>
      <c r="Y174" s="292">
        <v>343</v>
      </c>
      <c r="AA174" s="384">
        <f t="shared" si="16"/>
        <v>0</v>
      </c>
      <c r="AB174" s="284">
        <f t="shared" si="17"/>
        <v>0</v>
      </c>
    </row>
    <row r="175" spans="1:28" ht="193.5" customHeight="1" x14ac:dyDescent="0.3">
      <c r="A175" s="210">
        <f>'Unit Data from Audit Worksheet'!A220</f>
        <v>82</v>
      </c>
      <c r="B175" s="223" t="str">
        <f>'Unit Data from Audit Worksheet'!C220</f>
        <v>Long-Term Liability Note - Water Sewer Activities</v>
      </c>
      <c r="C175" s="223" t="str">
        <f>'Unit Data from Audit Worksheet'!D220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5" s="228"/>
      <c r="E175" s="229">
        <f>'Unit Data from Audit Worksheet'!F220</f>
        <v>0</v>
      </c>
      <c r="F175" s="222">
        <f>IF(L175&lt;0,"Error: Enter as a positive.",)</f>
        <v>0</v>
      </c>
      <c r="G175" s="224"/>
      <c r="H175" s="221"/>
      <c r="I175" s="32"/>
      <c r="J175" s="220">
        <v>82</v>
      </c>
      <c r="K175" s="62" t="s">
        <v>307</v>
      </c>
      <c r="L175" s="287">
        <f t="shared" si="15"/>
        <v>0</v>
      </c>
      <c r="P175" s="194"/>
      <c r="X175" s="549">
        <v>82</v>
      </c>
      <c r="Y175" s="284">
        <v>82</v>
      </c>
      <c r="AA175" s="384">
        <f t="shared" si="16"/>
        <v>0</v>
      </c>
      <c r="AB175" s="284">
        <f t="shared" si="17"/>
        <v>0</v>
      </c>
    </row>
    <row r="176" spans="1:28" ht="206.25" customHeight="1" x14ac:dyDescent="0.3">
      <c r="A176" s="210">
        <f>'Unit Data from Audit Worksheet'!A221</f>
        <v>359</v>
      </c>
      <c r="B176" s="223" t="str">
        <f>'Unit Data from Audit Worksheet'!C221</f>
        <v>Long-Term Liability Note - Electric Activities</v>
      </c>
      <c r="C176" s="223" t="str">
        <f>'Unit Data from Audit Worksheet'!D221</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6" s="228"/>
      <c r="E176" s="229">
        <f>'Unit Data from Audit Worksheet'!F221</f>
        <v>0</v>
      </c>
      <c r="F176" s="222">
        <f>IF(L176&lt;0,"Error: Enter as a positive.",)</f>
        <v>0</v>
      </c>
      <c r="G176" s="224"/>
      <c r="H176" s="221"/>
      <c r="I176" s="32"/>
      <c r="J176" s="220">
        <v>359</v>
      </c>
      <c r="K176" s="219" t="s">
        <v>247</v>
      </c>
      <c r="L176" s="287">
        <f t="shared" si="15"/>
        <v>0</v>
      </c>
      <c r="P176" s="194"/>
      <c r="X176" s="549">
        <v>359</v>
      </c>
      <c r="Y176" s="284">
        <v>359</v>
      </c>
      <c r="AA176" s="384">
        <f t="shared" si="16"/>
        <v>0</v>
      </c>
      <c r="AB176" s="284">
        <f t="shared" si="17"/>
        <v>0</v>
      </c>
    </row>
    <row r="177" spans="1:28" ht="87.6" customHeight="1" x14ac:dyDescent="0.3">
      <c r="A177" s="210">
        <f>'Unit Data from Audit Worksheet'!A223</f>
        <v>622</v>
      </c>
      <c r="B177" s="223" t="str">
        <f>'Unit Data from Audit Worksheet'!C223</f>
        <v>FS., Pension note or RSI</v>
      </c>
      <c r="C177" s="223" t="str">
        <f>'Unit Data from Audit Worksheet'!D223</f>
        <v xml:space="preserve">Unit's Share of Net Pension Liability ($s)
- unit of government is a participating employer in the State's TSERS (Teachers' and State Employees' Retirement System) or the LGERS (Local Governmental Employees' Retirement System).  </v>
      </c>
      <c r="D177" s="228"/>
      <c r="E177" s="229">
        <f>'Unit Data from Audit Worksheet'!F223</f>
        <v>0</v>
      </c>
      <c r="F177" s="222"/>
      <c r="G177" s="224"/>
      <c r="H177" s="221"/>
      <c r="I177" s="32"/>
      <c r="J177" s="220">
        <v>622</v>
      </c>
      <c r="K177" s="226" t="s">
        <v>357</v>
      </c>
      <c r="L177" s="287">
        <f t="shared" si="15"/>
        <v>0</v>
      </c>
      <c r="P177" s="194"/>
      <c r="S177" s="18"/>
      <c r="T177" s="18"/>
      <c r="U177" s="18"/>
      <c r="V177" s="18"/>
      <c r="X177" s="549">
        <v>622</v>
      </c>
      <c r="Y177" s="284">
        <v>622</v>
      </c>
      <c r="Z177" s="18"/>
      <c r="AA177" s="384">
        <f t="shared" si="16"/>
        <v>0</v>
      </c>
      <c r="AB177" s="284">
        <f t="shared" si="17"/>
        <v>0</v>
      </c>
    </row>
    <row r="178" spans="1:28" ht="138.75" customHeight="1" x14ac:dyDescent="0.3">
      <c r="A178" s="210">
        <f>'Unit Data from Audit Worksheet'!A224</f>
        <v>577</v>
      </c>
      <c r="B178" s="223" t="str">
        <f>'Unit Data from Audit Worksheet'!C224</f>
        <v>Pension Notes</v>
      </c>
      <c r="C178" s="223" t="str">
        <f>'Unit Data from Audit Worksheet'!D224</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v>
      </c>
      <c r="D178" s="228"/>
      <c r="E178" s="229">
        <f>'Unit Data from Audit Worksheet'!F224</f>
        <v>0</v>
      </c>
      <c r="F178" s="222"/>
      <c r="G178" s="224"/>
      <c r="H178" s="221"/>
      <c r="I178" s="32"/>
      <c r="J178" s="220">
        <v>577</v>
      </c>
      <c r="K178" s="226" t="s">
        <v>329</v>
      </c>
      <c r="L178" s="287">
        <f t="shared" si="15"/>
        <v>0</v>
      </c>
      <c r="P178" s="194"/>
      <c r="S178" s="18"/>
      <c r="T178" s="18"/>
      <c r="U178" s="18"/>
      <c r="V178" s="18"/>
      <c r="X178" s="549">
        <v>577</v>
      </c>
      <c r="Y178" s="284">
        <v>577</v>
      </c>
      <c r="Z178" s="18"/>
      <c r="AA178" s="384">
        <f t="shared" si="16"/>
        <v>0</v>
      </c>
      <c r="AB178" s="284">
        <f t="shared" si="17"/>
        <v>0</v>
      </c>
    </row>
    <row r="179" spans="1:28" ht="115.5" customHeight="1" x14ac:dyDescent="0.3">
      <c r="A179" s="313">
        <f>'Unit Data from Audit Worksheet'!A226</f>
        <v>598</v>
      </c>
      <c r="B179" s="223" t="str">
        <f>'Unit Data from Audit Worksheet'!C226</f>
        <v>LEO Note</v>
      </c>
      <c r="C179" s="209" t="str">
        <f>'Unit Data from Audit Worksheet'!D226</f>
        <v>Amount the unit paid out in benefits under LEO special separation allowance to retired law enforcement officers this fiscal year if you report under GASB 68 or GASB 73.</v>
      </c>
      <c r="D179" s="228"/>
      <c r="E179" s="229">
        <f>'Unit Data from Audit Worksheet'!F226</f>
        <v>0</v>
      </c>
      <c r="F179" s="222">
        <f>IF(L179&lt;0,"Error: Enter as a positive.",)</f>
        <v>0</v>
      </c>
      <c r="G179" s="224"/>
      <c r="H179" s="221"/>
      <c r="I179" s="32"/>
      <c r="J179" s="220">
        <v>598</v>
      </c>
      <c r="K179" s="87" t="s">
        <v>341</v>
      </c>
      <c r="L179" s="287">
        <f t="shared" si="15"/>
        <v>0</v>
      </c>
      <c r="P179" s="194"/>
      <c r="S179" s="18"/>
      <c r="T179" s="18"/>
      <c r="U179" s="18"/>
      <c r="V179" s="18"/>
      <c r="X179" s="549">
        <v>598</v>
      </c>
      <c r="Y179" s="284">
        <v>598</v>
      </c>
      <c r="Z179" s="18"/>
      <c r="AA179" s="384">
        <f t="shared" si="16"/>
        <v>0</v>
      </c>
      <c r="AB179" s="284">
        <f t="shared" si="17"/>
        <v>0</v>
      </c>
    </row>
    <row r="180" spans="1:28" ht="84" customHeight="1" x14ac:dyDescent="0.3">
      <c r="A180" s="210">
        <f>'Unit Data from Audit Worksheet'!A227</f>
        <v>599</v>
      </c>
      <c r="B180" s="223" t="str">
        <f>'Unit Data from Audit Worksheet'!C227</f>
        <v>LEO Note</v>
      </c>
      <c r="C180" s="209" t="str">
        <f>'Unit Data from Audit Worksheet'!D227</f>
        <v>The total LEO pension liability if you report under GASB 68 or GASB 73.</v>
      </c>
      <c r="D180" s="228"/>
      <c r="E180" s="229">
        <f>'Unit Data from Audit Worksheet'!F227</f>
        <v>0</v>
      </c>
      <c r="F180" s="222">
        <f>IF(L180&lt;0,"Error: Enter as a positive.",)</f>
        <v>0</v>
      </c>
      <c r="G180" s="224"/>
      <c r="H180" s="221"/>
      <c r="I180" s="32"/>
      <c r="J180" s="220">
        <v>599</v>
      </c>
      <c r="K180" s="86" t="s">
        <v>340</v>
      </c>
      <c r="L180" s="287">
        <f t="shared" si="15"/>
        <v>0</v>
      </c>
      <c r="P180" s="194"/>
      <c r="X180" s="549">
        <v>599</v>
      </c>
      <c r="Y180" s="284">
        <v>599</v>
      </c>
      <c r="AA180" s="384">
        <f t="shared" si="16"/>
        <v>0</v>
      </c>
      <c r="AB180" s="284">
        <f t="shared" si="17"/>
        <v>0</v>
      </c>
    </row>
    <row r="181" spans="1:28" ht="102.75" customHeight="1" x14ac:dyDescent="0.3">
      <c r="A181" s="210">
        <f>'Unit Data from Audit Worksheet'!A228</f>
        <v>602</v>
      </c>
      <c r="B181" s="223" t="str">
        <f>'Unit Data from Audit Worksheet'!C228</f>
        <v>LEO Note</v>
      </c>
      <c r="C181" s="209" t="str">
        <f>'Unit Data from Audit Worksheet'!D228</f>
        <v>If you have LEO pension assets and are reporting under GASB 68 please enter "Plan Fiduciary Net Position" which can be found on your RSI schedules and the Notes.</v>
      </c>
      <c r="D181" s="228"/>
      <c r="E181" s="229">
        <f>'Unit Data from Audit Worksheet'!F228</f>
        <v>0</v>
      </c>
      <c r="F181" s="222">
        <f>IF(L181&lt;0,"Error: Enter as a positive.",)</f>
        <v>0</v>
      </c>
      <c r="G181" s="224"/>
      <c r="H181" s="221"/>
      <c r="I181" s="32"/>
      <c r="J181" s="220">
        <v>602</v>
      </c>
      <c r="K181" s="23" t="s">
        <v>342</v>
      </c>
      <c r="L181" s="287">
        <f t="shared" si="15"/>
        <v>0</v>
      </c>
      <c r="P181" s="194"/>
      <c r="X181" s="549">
        <v>602</v>
      </c>
      <c r="Y181" s="284">
        <v>602</v>
      </c>
      <c r="AA181" s="384">
        <f t="shared" si="16"/>
        <v>0</v>
      </c>
      <c r="AB181" s="284">
        <f t="shared" si="17"/>
        <v>0</v>
      </c>
    </row>
    <row r="182" spans="1:28" ht="123" customHeight="1" x14ac:dyDescent="0.3">
      <c r="A182" s="210">
        <f>'Unit Data from Audit Worksheet'!A229</f>
        <v>619</v>
      </c>
      <c r="B182" s="223" t="str">
        <f>'Unit Data from Audit Worksheet'!C229</f>
        <v>LEO
RSI</v>
      </c>
      <c r="C182" s="87" t="str">
        <f>'Unit Data from Audit Worksheet'!D229</f>
        <v>LEOSSA – What is the plan’s fiduciary net position as a percentage of the total pension liability?  Please enter as percentage value; for example, 83.5% should be entered as 83.5.  If assets have not been set aside in a trust, please enter 0.0</v>
      </c>
      <c r="D182" s="88"/>
      <c r="E182" s="140">
        <f>'Unit Data from Audit Worksheet'!F229</f>
        <v>0</v>
      </c>
      <c r="F182" s="222" t="str">
        <f>IF(H182=L182,"","Column L does not equal Column H")</f>
        <v/>
      </c>
      <c r="G182" s="224"/>
      <c r="H182" s="95">
        <f>ROUND(IFERROR((L181/L180)*100,0),1)</f>
        <v>0</v>
      </c>
      <c r="I182" s="32"/>
      <c r="J182" s="212">
        <v>619</v>
      </c>
      <c r="K182" s="94" t="s">
        <v>446</v>
      </c>
      <c r="L182" s="719">
        <f t="shared" si="15"/>
        <v>0</v>
      </c>
      <c r="P182" s="194"/>
      <c r="X182" s="549">
        <v>619</v>
      </c>
      <c r="Y182" s="284">
        <v>619</v>
      </c>
      <c r="AA182" s="384">
        <f t="shared" si="16"/>
        <v>0</v>
      </c>
      <c r="AB182" s="284">
        <f t="shared" si="17"/>
        <v>0</v>
      </c>
    </row>
    <row r="183" spans="1:28" ht="113.25" customHeight="1" x14ac:dyDescent="0.3">
      <c r="A183" s="210">
        <v>621</v>
      </c>
      <c r="B183" s="51" t="s">
        <v>351</v>
      </c>
      <c r="C183" s="317" t="str">
        <f>'Unit Data from Audit Worksheet'!D231</f>
        <v xml:space="preserve">Unit's share of Retirement Health Benefit Fund Net OPEB Liability ($s)
- unit of government is a participating employer in the State's RHBF </v>
      </c>
      <c r="D183" s="88"/>
      <c r="E183" s="229">
        <f>'Unit Data from Audit Worksheet'!F231</f>
        <v>0</v>
      </c>
      <c r="F183" s="222">
        <f>IF(L183&lt;0,"Error: Enter as a positive.",)</f>
        <v>0</v>
      </c>
      <c r="G183" s="120"/>
      <c r="H183" s="221"/>
      <c r="I183" s="32"/>
      <c r="J183" s="318">
        <v>621</v>
      </c>
      <c r="K183" s="121" t="s">
        <v>450</v>
      </c>
      <c r="L183" s="287">
        <f t="shared" si="15"/>
        <v>0</v>
      </c>
      <c r="P183" s="195"/>
      <c r="X183" s="549">
        <v>621</v>
      </c>
      <c r="Y183" s="284">
        <v>621</v>
      </c>
      <c r="AA183" s="384">
        <f t="shared" si="16"/>
        <v>0</v>
      </c>
      <c r="AB183" s="284">
        <f t="shared" si="17"/>
        <v>0</v>
      </c>
    </row>
    <row r="184" spans="1:28" s="18" customFormat="1" ht="127.5" customHeight="1" x14ac:dyDescent="0.3">
      <c r="A184" s="313">
        <f>'Unit Data from Audit Worksheet'!A232</f>
        <v>547</v>
      </c>
      <c r="B184" s="223" t="str">
        <f>'Unit Data from Audit Worksheet'!C232</f>
        <v>OPEB Note</v>
      </c>
      <c r="C184" s="223" t="str">
        <f>'Unit Data from Audit Worksheet'!D232</f>
        <v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
</v>
      </c>
      <c r="D184" s="228"/>
      <c r="E184" s="229">
        <f>'Unit Data from Audit Worksheet'!F232</f>
        <v>0</v>
      </c>
      <c r="F184" s="222" t="str">
        <f>IF(L187&lt;1,"Please answer this question","")</f>
        <v>Please answer this question</v>
      </c>
      <c r="G184" s="224"/>
      <c r="H184" s="221"/>
      <c r="I184" s="32"/>
      <c r="J184" s="220">
        <v>547</v>
      </c>
      <c r="K184" s="319" t="s">
        <v>295</v>
      </c>
      <c r="L184" s="287">
        <f t="shared" si="15"/>
        <v>0</v>
      </c>
      <c r="M184"/>
      <c r="P184" s="195"/>
      <c r="Q184" s="277"/>
      <c r="R184" s="3"/>
      <c r="S184" s="3"/>
      <c r="T184" s="3"/>
      <c r="U184" s="3"/>
      <c r="V184" s="3"/>
      <c r="W184" s="3"/>
      <c r="X184" s="549">
        <v>547</v>
      </c>
      <c r="Y184" s="284">
        <v>547</v>
      </c>
      <c r="Z184" s="3"/>
      <c r="AA184" s="384">
        <f t="shared" si="16"/>
        <v>0</v>
      </c>
      <c r="AB184" s="284">
        <f t="shared" si="17"/>
        <v>0</v>
      </c>
    </row>
    <row r="185" spans="1:28" s="18" customFormat="1" ht="99" customHeight="1" x14ac:dyDescent="0.3">
      <c r="A185" s="210">
        <f>'Unit Data from Audit Worksheet'!A233</f>
        <v>659</v>
      </c>
      <c r="B185" s="223" t="str">
        <f>'Unit Data from Audit Worksheet'!C233</f>
        <v>OPEB
 Note or RSI</v>
      </c>
      <c r="C185" s="209" t="str">
        <f>'Unit Data from Audit Worksheet'!D233</f>
        <v>Total OPEB benefits - total OPEB liability
If you do not provide benefit, please enter 0</v>
      </c>
      <c r="D185" s="228"/>
      <c r="E185" s="229">
        <f>'Unit Data from Audit Worksheet'!F233</f>
        <v>0</v>
      </c>
      <c r="F185" s="222">
        <f>IF(L185&lt;0,"Error: Enter as a positive.",)</f>
        <v>0</v>
      </c>
      <c r="G185" s="320" t="s">
        <v>1485</v>
      </c>
      <c r="H185" s="221"/>
      <c r="I185" s="32"/>
      <c r="J185" s="212">
        <v>659</v>
      </c>
      <c r="K185" s="211" t="s">
        <v>415</v>
      </c>
      <c r="L185" s="300">
        <f t="shared" si="15"/>
        <v>0</v>
      </c>
      <c r="M185"/>
      <c r="P185" s="195"/>
      <c r="Q185" s="277"/>
      <c r="R185" s="3"/>
      <c r="S185" s="3"/>
      <c r="T185" s="3"/>
      <c r="U185" s="3"/>
      <c r="V185" s="3"/>
      <c r="W185" s="3"/>
      <c r="X185" s="549">
        <v>659</v>
      </c>
      <c r="Y185" s="284">
        <v>659</v>
      </c>
      <c r="Z185" s="3"/>
      <c r="AA185" s="384">
        <f t="shared" si="16"/>
        <v>0</v>
      </c>
      <c r="AB185" s="284">
        <f t="shared" si="17"/>
        <v>0</v>
      </c>
    </row>
    <row r="186" spans="1:28" s="18" customFormat="1" ht="131.25" customHeight="1" x14ac:dyDescent="0.3">
      <c r="A186" s="210">
        <f>'Unit Data from Audit Worksheet'!A234</f>
        <v>660</v>
      </c>
      <c r="B186" s="223" t="str">
        <f>'Unit Data from Audit Worksheet'!C234</f>
        <v>OPEB
 Note or RSI</v>
      </c>
      <c r="C186" s="209" t="str">
        <f>'Unit Data from Audit Worksheet'!D234</f>
        <v>Total OPEB benefits- OPEB plan fiduciary net position
If no fiduciary net position, enter 0</v>
      </c>
      <c r="D186" s="228"/>
      <c r="E186" s="229">
        <f>'Unit Data from Audit Worksheet'!F234</f>
        <v>0</v>
      </c>
      <c r="F186" s="218">
        <f>IF(L186&lt;0,"Note: Number is normally positive.",)</f>
        <v>0</v>
      </c>
      <c r="G186" s="320" t="s">
        <v>1485</v>
      </c>
      <c r="H186" s="221"/>
      <c r="I186" s="32"/>
      <c r="J186" s="212">
        <v>660</v>
      </c>
      <c r="K186" s="211" t="s">
        <v>416</v>
      </c>
      <c r="L186" s="300">
        <f t="shared" si="15"/>
        <v>0</v>
      </c>
      <c r="M186"/>
      <c r="P186" s="195"/>
      <c r="Q186" s="277"/>
      <c r="R186" s="3"/>
      <c r="S186" s="3"/>
      <c r="T186" s="3"/>
      <c r="U186" s="3"/>
      <c r="V186" s="3"/>
      <c r="W186" s="3"/>
      <c r="X186" s="549">
        <v>660</v>
      </c>
      <c r="Y186" s="284">
        <v>660</v>
      </c>
      <c r="Z186" s="3"/>
      <c r="AA186" s="384">
        <f t="shared" si="16"/>
        <v>0</v>
      </c>
      <c r="AB186" s="284">
        <f t="shared" si="17"/>
        <v>0</v>
      </c>
    </row>
    <row r="187" spans="1:28" ht="134.25" customHeight="1" x14ac:dyDescent="0.3">
      <c r="A187" s="210">
        <f>'Unit Data from Audit Worksheet'!A235</f>
        <v>661</v>
      </c>
      <c r="B187" s="223" t="str">
        <f>'Unit Data from Audit Worksheet'!C235</f>
        <v>OPEB
RSI</v>
      </c>
      <c r="C187" s="209" t="str">
        <f>'Unit Data from Audit Worksheet'!D235</f>
        <v>Total OPEB benefits - What is the plan’s fiduciary net position as a percentage of the total OPEB liability?  Please enter as percentage value; for example, 83.5% should be entered as 83.5.  If assets have not been set aside in a trust, please enter 0.0</v>
      </c>
      <c r="D187" s="88"/>
      <c r="E187" s="208">
        <f>'Unit Data from Audit Worksheet'!F235</f>
        <v>0</v>
      </c>
      <c r="F187" s="222" t="str">
        <f>IF(H187=L187,"","Column L does not equal Column H")</f>
        <v/>
      </c>
      <c r="G187" s="320" t="s">
        <v>1485</v>
      </c>
      <c r="H187" s="160">
        <f>ROUND(IFERROR((L186/L185)*100,0),1)</f>
        <v>0</v>
      </c>
      <c r="I187" s="32"/>
      <c r="J187" s="212">
        <v>661</v>
      </c>
      <c r="K187" s="226" t="s">
        <v>418</v>
      </c>
      <c r="L187" s="720">
        <f>IF(D187="",E187,D187)</f>
        <v>0</v>
      </c>
      <c r="P187" s="195"/>
      <c r="X187" s="549">
        <v>661</v>
      </c>
      <c r="Y187" s="3">
        <v>661</v>
      </c>
      <c r="AA187" s="384">
        <f t="shared" si="16"/>
        <v>0</v>
      </c>
      <c r="AB187" s="284">
        <f t="shared" si="17"/>
        <v>0</v>
      </c>
    </row>
    <row r="188" spans="1:28" ht="65.25" customHeight="1" x14ac:dyDescent="0.3">
      <c r="A188" s="210">
        <f>'Unit Data from Audit Worksheet'!A238</f>
        <v>371</v>
      </c>
      <c r="B188" s="223" t="str">
        <f>'Unit Data from Audit Worksheet'!C238</f>
        <v>Transfer Note</v>
      </c>
      <c r="C188" s="209" t="str">
        <f>'Unit Data from Audit Worksheet'!D238</f>
        <v>Amount of Transfers from the General Fund to the Debt Service Fund (Enter as positive)</v>
      </c>
      <c r="D188" s="228"/>
      <c r="E188" s="229">
        <f>'Unit Data from Audit Worksheet'!F238</f>
        <v>0</v>
      </c>
      <c r="F188" s="222">
        <f>IF(L188&lt;0,"Error: Enter as a positive.",)</f>
        <v>0</v>
      </c>
      <c r="G188" s="224"/>
      <c r="H188" s="221"/>
      <c r="I188" s="32"/>
      <c r="J188" s="33">
        <v>371</v>
      </c>
      <c r="K188" s="219" t="s">
        <v>248</v>
      </c>
      <c r="L188" s="287">
        <f t="shared" si="15"/>
        <v>0</v>
      </c>
      <c r="P188" s="197"/>
      <c r="X188" s="549">
        <v>371</v>
      </c>
      <c r="Y188" s="3">
        <v>371</v>
      </c>
      <c r="AA188" s="384">
        <f t="shared" si="16"/>
        <v>0</v>
      </c>
      <c r="AB188" s="284">
        <f t="shared" si="17"/>
        <v>0</v>
      </c>
    </row>
    <row r="189" spans="1:28" s="384" customFormat="1" ht="65.25" customHeight="1" x14ac:dyDescent="0.3">
      <c r="A189" s="302">
        <f>'Unit Data from Audit Worksheet'!A239</f>
        <v>1075</v>
      </c>
      <c r="B189" s="227" t="str">
        <f>'Unit Data from Audit Worksheet'!C239</f>
        <v>Transfer Note</v>
      </c>
      <c r="C189" s="303" t="str">
        <f>'Unit Data from Audit Worksheet'!D239</f>
        <v>Transfers from General Fund to Water and Sewer Fund.  (Enter as positive)</v>
      </c>
      <c r="D189" s="228"/>
      <c r="E189" s="230">
        <f>'Unit Data from Audit Worksheet'!F239</f>
        <v>0</v>
      </c>
      <c r="F189" s="222"/>
      <c r="G189" s="224"/>
      <c r="H189" s="221"/>
      <c r="I189" s="32"/>
      <c r="J189" s="782">
        <v>1075</v>
      </c>
      <c r="K189" s="118" t="s">
        <v>1576</v>
      </c>
      <c r="L189" s="304">
        <f t="shared" si="15"/>
        <v>0</v>
      </c>
      <c r="M189" s="180"/>
      <c r="P189" s="197"/>
      <c r="Q189" s="277"/>
      <c r="X189" s="549"/>
      <c r="AB189" s="284"/>
    </row>
    <row r="190" spans="1:28" s="384" customFormat="1" ht="65.25" customHeight="1" x14ac:dyDescent="0.3">
      <c r="A190" s="302">
        <f>'Unit Data from Audit Worksheet'!A240</f>
        <v>1076</v>
      </c>
      <c r="B190" s="227" t="str">
        <f>'Unit Data from Audit Worksheet'!C240</f>
        <v>Transfer Note</v>
      </c>
      <c r="C190" s="303" t="str">
        <f>'Unit Data from Audit Worksheet'!D240</f>
        <v>Transfers from Water and Sewer to General Fund.  (Enter as positive)</v>
      </c>
      <c r="D190" s="228"/>
      <c r="E190" s="230">
        <f>'Unit Data from Audit Worksheet'!F240</f>
        <v>0</v>
      </c>
      <c r="F190" s="222"/>
      <c r="G190" s="224"/>
      <c r="H190" s="221"/>
      <c r="I190" s="32"/>
      <c r="J190" s="782">
        <v>1076</v>
      </c>
      <c r="K190" s="118" t="s">
        <v>1577</v>
      </c>
      <c r="L190" s="304">
        <f t="shared" si="15"/>
        <v>0</v>
      </c>
      <c r="M190" s="180"/>
      <c r="P190" s="197"/>
      <c r="Q190" s="277"/>
      <c r="X190" s="549"/>
      <c r="AB190" s="284"/>
    </row>
    <row r="191" spans="1:28" s="384" customFormat="1" ht="65.25" customHeight="1" x14ac:dyDescent="0.3">
      <c r="A191" s="302">
        <f>'Unit Data from Audit Worksheet'!A241</f>
        <v>1077</v>
      </c>
      <c r="B191" s="227" t="str">
        <f>'Unit Data from Audit Worksheet'!C241</f>
        <v>Water and Sewer - Fund Revenue, Expenses &amp; Changes in Fund Net Position or Notes to Financial Statements</v>
      </c>
      <c r="C191" s="303" t="str">
        <f>'Unit Data from Audit Worksheet'!D241</f>
        <v>Amount transferred from the Water and Sewer Fund to  Water and Sewer Capital Project Funds</v>
      </c>
      <c r="D191" s="228"/>
      <c r="E191" s="230">
        <f>'Unit Data from Audit Worksheet'!F241</f>
        <v>0</v>
      </c>
      <c r="F191" s="222"/>
      <c r="G191" s="224"/>
      <c r="H191" s="221"/>
      <c r="I191" s="32"/>
      <c r="J191" s="782">
        <v>1077</v>
      </c>
      <c r="K191" s="118" t="s">
        <v>1947</v>
      </c>
      <c r="L191" s="304">
        <f t="shared" si="15"/>
        <v>0</v>
      </c>
      <c r="M191" s="180"/>
      <c r="P191" s="197"/>
      <c r="Q191" s="277"/>
      <c r="X191" s="549"/>
      <c r="AB191" s="284"/>
    </row>
    <row r="192" spans="1:28" ht="63" customHeight="1" x14ac:dyDescent="0.3">
      <c r="A192" s="210">
        <f>'Unit Data from Audit Worksheet'!A242</f>
        <v>513</v>
      </c>
      <c r="B192" s="223" t="str">
        <f>'Unit Data from Audit Worksheet'!C242</f>
        <v>Transfer Note</v>
      </c>
      <c r="C192" s="209" t="str">
        <f>'Unit Data from Audit Worksheet'!D242</f>
        <v>Amount of Transfers from the General Fund to the Electric Fund  (Enter as positive)</v>
      </c>
      <c r="D192" s="228"/>
      <c r="E192" s="229">
        <f>'Unit Data from Audit Worksheet'!F242</f>
        <v>0</v>
      </c>
      <c r="F192" s="222">
        <f>IF(L192&lt;0,"Error: Enter as a positive.",)</f>
        <v>0</v>
      </c>
      <c r="G192" s="224"/>
      <c r="H192" s="221"/>
      <c r="I192" s="32"/>
      <c r="J192" s="220">
        <v>513</v>
      </c>
      <c r="K192" s="219" t="s">
        <v>249</v>
      </c>
      <c r="L192" s="287">
        <f t="shared" si="15"/>
        <v>0</v>
      </c>
      <c r="P192" s="197"/>
      <c r="X192" s="549">
        <v>513</v>
      </c>
      <c r="Y192" s="3">
        <v>513</v>
      </c>
      <c r="AA192" s="384">
        <f t="shared" si="16"/>
        <v>0</v>
      </c>
      <c r="AB192" s="284">
        <f t="shared" si="17"/>
        <v>0</v>
      </c>
    </row>
    <row r="193" spans="1:28" ht="89.25" customHeight="1" x14ac:dyDescent="0.3">
      <c r="A193" s="210">
        <f>'Unit Data from Audit Worksheet'!A243</f>
        <v>514</v>
      </c>
      <c r="B193" s="223" t="str">
        <f>'Unit Data from Audit Worksheet'!C243</f>
        <v>Transfer Note</v>
      </c>
      <c r="C193" s="209" t="str">
        <f>'Unit Data from Audit Worksheet'!D243</f>
        <v>Amount of Transfers from the Electric Fund to the General Fund  (Enter as positive)
Include:  Payment in Lieu of Taxes (PILOT)</v>
      </c>
      <c r="D193" s="228"/>
      <c r="E193" s="229">
        <f>'Unit Data from Audit Worksheet'!F243</f>
        <v>0</v>
      </c>
      <c r="F193" s="222">
        <f>IF(L193&lt;0,"Error: Enter as a positive.",)</f>
        <v>0</v>
      </c>
      <c r="G193" s="224"/>
      <c r="H193" s="221"/>
      <c r="I193" s="32"/>
      <c r="J193" s="220">
        <v>514</v>
      </c>
      <c r="K193" s="219" t="s">
        <v>250</v>
      </c>
      <c r="L193" s="287">
        <f t="shared" si="15"/>
        <v>0</v>
      </c>
      <c r="P193" s="197"/>
      <c r="X193" s="549">
        <v>514</v>
      </c>
      <c r="Y193" s="3">
        <v>514</v>
      </c>
      <c r="AA193" s="384">
        <f t="shared" si="16"/>
        <v>0</v>
      </c>
      <c r="AB193" s="284">
        <f t="shared" si="17"/>
        <v>0</v>
      </c>
    </row>
    <row r="194" spans="1:28" ht="89.25" customHeight="1" x14ac:dyDescent="0.3">
      <c r="A194" s="210">
        <f>'Unit Data from Audit Worksheet'!A244</f>
        <v>990</v>
      </c>
      <c r="B194" s="223" t="str">
        <f>'Unit Data from Audit Worksheet'!C244</f>
        <v>Transfer Note</v>
      </c>
      <c r="C194" s="209" t="str">
        <f>'Unit Data from Audit Worksheet'!D244</f>
        <v>Amount of transfer out of the Electric to the General Fund that is for Payment in Lieu of Taxes (PILOT)</v>
      </c>
      <c r="D194" s="228"/>
      <c r="E194" s="229">
        <f>'Unit Data from Audit Worksheet'!F244</f>
        <v>0</v>
      </c>
      <c r="F194" s="222"/>
      <c r="G194" s="224"/>
      <c r="H194" s="221"/>
      <c r="I194" s="32"/>
      <c r="J194" s="220">
        <v>990</v>
      </c>
      <c r="K194" s="219" t="s">
        <v>575</v>
      </c>
      <c r="L194" s="287">
        <f t="shared" si="15"/>
        <v>0</v>
      </c>
      <c r="P194" s="197"/>
      <c r="X194" s="549">
        <v>990</v>
      </c>
      <c r="Y194" s="3">
        <v>990</v>
      </c>
      <c r="AA194" s="384">
        <f t="shared" si="16"/>
        <v>0</v>
      </c>
      <c r="AB194" s="284">
        <f t="shared" si="17"/>
        <v>0</v>
      </c>
    </row>
    <row r="195" spans="1:28" s="384" customFormat="1" ht="89.25" customHeight="1" x14ac:dyDescent="0.3">
      <c r="A195" s="210">
        <f>'Unit Data from Audit Worksheet'!A245</f>
        <v>1051</v>
      </c>
      <c r="B195" s="223" t="str">
        <f>'Unit Data from Audit Worksheet'!C245</f>
        <v>Electric Fund Revenue, Expenses &amp; Changes in Fund Net Position or Notes to Financial Statements</v>
      </c>
      <c r="C195" s="209" t="str">
        <f>'Unit Data from Audit Worksheet'!D245</f>
        <v>Transfers to Electric Capital Projects</v>
      </c>
      <c r="D195" s="228"/>
      <c r="E195" s="229">
        <f>'Unit Data from Audit Worksheet'!F245</f>
        <v>0</v>
      </c>
      <c r="F195" s="222"/>
      <c r="G195" s="224"/>
      <c r="H195" s="221"/>
      <c r="I195" s="32"/>
      <c r="J195" s="220">
        <v>1051</v>
      </c>
      <c r="K195" s="219" t="s">
        <v>1428</v>
      </c>
      <c r="L195" s="293">
        <f t="shared" si="15"/>
        <v>0</v>
      </c>
      <c r="M195"/>
      <c r="P195" s="197"/>
      <c r="Q195" s="277"/>
      <c r="X195" s="549"/>
      <c r="AB195" s="284"/>
    </row>
    <row r="196" spans="1:28" ht="84.75" customHeight="1" x14ac:dyDescent="0.3">
      <c r="A196" s="321">
        <f>'Unit Data from Audit Worksheet'!A247</f>
        <v>6</v>
      </c>
      <c r="B196" s="47" t="str">
        <f>'Unit Data from Audit Worksheet'!C247</f>
        <v>Fund Balance Note</v>
      </c>
      <c r="C196" s="296" t="str">
        <f>'Unit Data from Audit Worksheet'!D247</f>
        <v>General Fund -  Total Encumbrances.  You will probably have to refer to the note disclosure where the amount of encumbrances is listed.</v>
      </c>
      <c r="D196" s="228"/>
      <c r="E196" s="144">
        <f>'Unit Data from Audit Worksheet'!F247</f>
        <v>0</v>
      </c>
      <c r="F196" s="31">
        <f>IF(L196&lt;0,"Error: Enter as a positive.",)</f>
        <v>0</v>
      </c>
      <c r="G196" s="66"/>
      <c r="H196" s="221"/>
      <c r="I196" s="32"/>
      <c r="J196" s="35">
        <v>6</v>
      </c>
      <c r="K196" s="125" t="s">
        <v>251</v>
      </c>
      <c r="L196" s="287">
        <f t="shared" si="15"/>
        <v>0</v>
      </c>
      <c r="P196" s="197"/>
      <c r="X196" s="549">
        <v>6</v>
      </c>
      <c r="Y196" s="3">
        <v>6</v>
      </c>
      <c r="AA196" s="384">
        <f t="shared" si="16"/>
        <v>0</v>
      </c>
      <c r="AB196" s="284">
        <f t="shared" si="17"/>
        <v>0</v>
      </c>
    </row>
    <row r="197" spans="1:28" ht="117.75" customHeight="1" x14ac:dyDescent="0.3">
      <c r="A197" s="210">
        <f>'Unit Data from Audit Worksheet'!A249</f>
        <v>541</v>
      </c>
      <c r="B197" s="223" t="str">
        <f>'Unit Data from Audit Worksheet'!C249</f>
        <v>Water Sewer - Budget Actual Statement</v>
      </c>
      <c r="C197" s="223" t="str">
        <f>'Unit Data from Audit Worksheet'!D249</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97" s="228"/>
      <c r="E197" s="229">
        <f>'Unit Data from Audit Worksheet'!F249</f>
        <v>0</v>
      </c>
      <c r="F197" s="222"/>
      <c r="G197" s="224"/>
      <c r="H197" s="221"/>
      <c r="I197" s="32"/>
      <c r="J197" s="220">
        <v>541</v>
      </c>
      <c r="K197" s="81" t="s">
        <v>308</v>
      </c>
      <c r="L197" s="287">
        <f t="shared" si="15"/>
        <v>0</v>
      </c>
      <c r="P197" s="197"/>
      <c r="X197" s="549">
        <v>541</v>
      </c>
      <c r="Y197" s="3">
        <v>541</v>
      </c>
      <c r="AA197" s="384">
        <f t="shared" si="16"/>
        <v>0</v>
      </c>
      <c r="AB197" s="284">
        <f t="shared" si="17"/>
        <v>0</v>
      </c>
    </row>
    <row r="198" spans="1:28" ht="94.5" customHeight="1" x14ac:dyDescent="0.3">
      <c r="A198" s="210">
        <f>'Unit Data from Audit Worksheet'!A251</f>
        <v>542</v>
      </c>
      <c r="B198" s="223" t="str">
        <f>'Unit Data from Audit Worksheet'!C251</f>
        <v>Water Sewer - Disclosed in the Notes or in the recently approved Budget for next year.</v>
      </c>
      <c r="C198" s="209" t="str">
        <f>'Unit Data from Audit Worksheet'!D251</f>
        <v>Amount of the Water Sewer Fund Balance appropriated in next year's budget?</v>
      </c>
      <c r="D198" s="228"/>
      <c r="E198" s="229">
        <f>'Unit Data from Audit Worksheet'!F251</f>
        <v>0</v>
      </c>
      <c r="F198" s="222"/>
      <c r="G198" s="224"/>
      <c r="H198" s="221"/>
      <c r="I198" s="32"/>
      <c r="J198" s="220">
        <v>542</v>
      </c>
      <c r="K198" s="219" t="s">
        <v>252</v>
      </c>
      <c r="L198" s="287">
        <f t="shared" si="15"/>
        <v>0</v>
      </c>
      <c r="N198" s="54" t="s">
        <v>299</v>
      </c>
      <c r="P198" s="197"/>
      <c r="X198" s="549">
        <v>542</v>
      </c>
      <c r="Y198" s="3">
        <v>542</v>
      </c>
      <c r="AA198" s="384">
        <f t="shared" si="16"/>
        <v>0</v>
      </c>
      <c r="AB198" s="284">
        <f t="shared" si="17"/>
        <v>0</v>
      </c>
    </row>
    <row r="199" spans="1:28" ht="93.75" customHeight="1" x14ac:dyDescent="0.3">
      <c r="A199" s="210">
        <f>'Unit Data from Audit Worksheet'!A254</f>
        <v>528</v>
      </c>
      <c r="B199" s="223" t="str">
        <f>'Unit Data from Audit Worksheet'!C254</f>
        <v>Analysis of Current Tax Levy Schedule</v>
      </c>
      <c r="C199" s="209" t="str">
        <f>'Unit Data from Audit Worksheet'!D254</f>
        <v>Please enter the Net Current year's levy for property excluding registered motor vehicles-- (after adjusting for discoveries and abatements) - 
Exclude Supplemental Taxes</v>
      </c>
      <c r="D199" s="228"/>
      <c r="E199" s="229">
        <f>'Unit Data from Audit Worksheet'!F254</f>
        <v>0</v>
      </c>
      <c r="F199" s="75" t="str">
        <f>IF(L199=0,"Must be completed if unit levys taxes","")</f>
        <v>Must be completed if unit levys taxes</v>
      </c>
      <c r="G199" s="224"/>
      <c r="H199" s="221"/>
      <c r="I199" s="32"/>
      <c r="J199" s="220">
        <v>528</v>
      </c>
      <c r="K199" s="322" t="s">
        <v>257</v>
      </c>
      <c r="L199" s="287">
        <f t="shared" si="15"/>
        <v>0</v>
      </c>
      <c r="N199" s="76"/>
      <c r="P199" s="197"/>
      <c r="X199" s="549">
        <v>528</v>
      </c>
      <c r="Y199" s="3">
        <v>528</v>
      </c>
      <c r="AA199" s="384">
        <f t="shared" si="16"/>
        <v>0</v>
      </c>
      <c r="AB199" s="284">
        <f t="shared" si="17"/>
        <v>0</v>
      </c>
    </row>
    <row r="200" spans="1:28" s="18" customFormat="1" ht="79.5" customHeight="1" x14ac:dyDescent="0.3">
      <c r="A200" s="210">
        <f>'Unit Data from Audit Worksheet'!A255</f>
        <v>529</v>
      </c>
      <c r="B200" s="223" t="str">
        <f>'Unit Data from Audit Worksheet'!C255</f>
        <v>Analysis of Current Tax Levy Schedule</v>
      </c>
      <c r="C200" s="209" t="str">
        <f>'Unit Data from Audit Worksheet'!D255</f>
        <v>Please enter the Net Current year's levy -- Motor vehicles (only) (after adjusting for discoveries and abatements)
Exclude supplemental taxes</v>
      </c>
      <c r="D200" s="228"/>
      <c r="E200" s="229">
        <f>'Unit Data from Audit Worksheet'!F255</f>
        <v>0</v>
      </c>
      <c r="F200" s="75" t="str">
        <f>IF(L200=0,"Must be completed if unit levys taxes","")</f>
        <v>Must be completed if unit levys taxes</v>
      </c>
      <c r="G200" s="224"/>
      <c r="H200" s="221"/>
      <c r="I200" s="32"/>
      <c r="J200" s="220">
        <v>529</v>
      </c>
      <c r="K200" s="322" t="s">
        <v>258</v>
      </c>
      <c r="L200" s="287">
        <f t="shared" si="15"/>
        <v>0</v>
      </c>
      <c r="M200"/>
      <c r="N200" s="76"/>
      <c r="P200" s="197"/>
      <c r="Q200" s="277"/>
      <c r="R200" s="3"/>
      <c r="S200" s="3"/>
      <c r="T200" s="3"/>
      <c r="U200" s="3"/>
      <c r="V200" s="3"/>
      <c r="W200" s="3"/>
      <c r="X200" s="549">
        <v>529</v>
      </c>
      <c r="Y200" s="3">
        <v>529</v>
      </c>
      <c r="Z200" s="3"/>
      <c r="AA200" s="384">
        <f t="shared" si="16"/>
        <v>0</v>
      </c>
      <c r="AB200" s="284">
        <f t="shared" si="17"/>
        <v>0</v>
      </c>
    </row>
    <row r="201" spans="1:28" s="18" customFormat="1" ht="75" customHeight="1" x14ac:dyDescent="0.3">
      <c r="A201" s="210">
        <f>'Unit Data from Audit Worksheet'!A256</f>
        <v>530</v>
      </c>
      <c r="B201" s="223" t="str">
        <f>'Unit Data from Audit Worksheet'!C256</f>
        <v>Analysis of Current Tax Levy Schedule</v>
      </c>
      <c r="C201" s="209" t="str">
        <f>'Unit Data from Audit Worksheet'!D256</f>
        <v>Uncollected Taxes - Curr Year's Levy Exclude Motor Vehicles
Exclude supplemental taxes</v>
      </c>
      <c r="D201" s="228"/>
      <c r="E201" s="229">
        <f>'Unit Data from Audit Worksheet'!F256</f>
        <v>0</v>
      </c>
      <c r="F201" s="75" t="str">
        <f>IF(L201=0,"Must be completed if unit levys taxes","")</f>
        <v>Must be completed if unit levys taxes</v>
      </c>
      <c r="G201" s="224"/>
      <c r="H201" s="221"/>
      <c r="I201" s="32"/>
      <c r="J201" s="220">
        <v>530</v>
      </c>
      <c r="K201" s="322" t="s">
        <v>259</v>
      </c>
      <c r="L201" s="287">
        <f t="shared" ref="L201:L207" si="18">IF(D201="",E201,D201)</f>
        <v>0</v>
      </c>
      <c r="M201"/>
      <c r="N201" s="76"/>
      <c r="P201" s="197"/>
      <c r="Q201" s="277"/>
      <c r="R201" s="3"/>
      <c r="S201" s="3"/>
      <c r="T201" s="3"/>
      <c r="U201" s="3"/>
      <c r="V201" s="3"/>
      <c r="W201" s="3"/>
      <c r="X201" s="549">
        <v>530</v>
      </c>
      <c r="Y201" s="3">
        <v>530</v>
      </c>
      <c r="Z201" s="3"/>
      <c r="AA201" s="384">
        <f t="shared" si="16"/>
        <v>0</v>
      </c>
      <c r="AB201" s="284">
        <f t="shared" si="17"/>
        <v>0</v>
      </c>
    </row>
    <row r="202" spans="1:28" s="18" customFormat="1" ht="68.25" customHeight="1" x14ac:dyDescent="0.3">
      <c r="A202" s="210">
        <f>'Unit Data from Audit Worksheet'!A257</f>
        <v>531</v>
      </c>
      <c r="B202" s="223" t="str">
        <f>'Unit Data from Audit Worksheet'!C257</f>
        <v>Analysis of Current Tax Levy Schedule</v>
      </c>
      <c r="C202" s="209" t="str">
        <f>'Unit Data from Audit Worksheet'!D257</f>
        <v>Uncollected Taxes - Curr Year's Levy Motor Vehicles
Exclude supplemental taxes</v>
      </c>
      <c r="D202" s="228"/>
      <c r="E202" s="229">
        <f>'Unit Data from Audit Worksheet'!F257</f>
        <v>0</v>
      </c>
      <c r="F202" s="75"/>
      <c r="G202" s="224"/>
      <c r="H202" s="221"/>
      <c r="I202" s="32"/>
      <c r="J202" s="220">
        <v>531</v>
      </c>
      <c r="K202" s="322" t="s">
        <v>260</v>
      </c>
      <c r="L202" s="287">
        <f t="shared" si="18"/>
        <v>0</v>
      </c>
      <c r="M202"/>
      <c r="N202" s="76" t="str">
        <f>IF(T183=0,"Must be completed if unit levys taxes, zero acceptable if Motor Vehicle collection rate is 100%","")</f>
        <v>Must be completed if unit levys taxes, zero acceptable if Motor Vehicle collection rate is 100%</v>
      </c>
      <c r="P202" s="197"/>
      <c r="Q202" s="277"/>
      <c r="R202" s="3"/>
      <c r="S202" s="3"/>
      <c r="T202" s="3"/>
      <c r="U202" s="3"/>
      <c r="V202" s="3"/>
      <c r="W202" s="3"/>
      <c r="X202" s="549">
        <v>531</v>
      </c>
      <c r="Y202" s="3">
        <v>531</v>
      </c>
      <c r="Z202" s="3"/>
      <c r="AA202" s="384">
        <f t="shared" si="16"/>
        <v>0</v>
      </c>
      <c r="AB202" s="284">
        <f t="shared" si="17"/>
        <v>0</v>
      </c>
    </row>
    <row r="203" spans="1:28" ht="90.75" customHeight="1" x14ac:dyDescent="0.3">
      <c r="A203" s="210">
        <f>'Unit Data from Audit Worksheet'!A258</f>
        <v>61</v>
      </c>
      <c r="B203" s="223" t="str">
        <f>'Unit Data from Audit Worksheet'!C258</f>
        <v>Analysis of Current Tax Levy Schedule</v>
      </c>
      <c r="C203" s="209" t="str">
        <f>'Unit Data from Audit Worksheet'!D258</f>
        <v>Tax collection rate- Total Levy UNIT-WIDE
Exclude supplemental taxes
(Enter as a percentage with two decimal places)</v>
      </c>
      <c r="D203" s="82"/>
      <c r="E203" s="141">
        <f>'Unit Data from Audit Worksheet'!F258</f>
        <v>0</v>
      </c>
      <c r="F203" s="80" t="str">
        <f>IF(L203=H203,"","Column H calculates the percentage using accounts 528, 529, 530, 531, please enter the correct amounts from the audit schedule for these cells")</f>
        <v/>
      </c>
      <c r="G203" s="224" t="str">
        <f>IF(Q180=1," Included in error count"," ")</f>
        <v xml:space="preserve"> </v>
      </c>
      <c r="H203" s="224">
        <f>ROUND(IFERROR(((L199+L200)-(L201+L202))/(L199+L200)*100,0),2)</f>
        <v>0</v>
      </c>
      <c r="I203" s="32"/>
      <c r="J203" s="220">
        <v>61</v>
      </c>
      <c r="K203" s="52" t="s">
        <v>254</v>
      </c>
      <c r="L203" s="721">
        <f t="shared" si="18"/>
        <v>0</v>
      </c>
      <c r="N203" s="76"/>
      <c r="P203" s="197"/>
      <c r="X203" s="549">
        <v>61</v>
      </c>
      <c r="Y203" s="3">
        <v>61</v>
      </c>
      <c r="AA203" s="384">
        <f t="shared" si="16"/>
        <v>0</v>
      </c>
      <c r="AB203" s="284">
        <f t="shared" si="17"/>
        <v>0</v>
      </c>
    </row>
    <row r="204" spans="1:28" ht="89.25" customHeight="1" x14ac:dyDescent="0.3">
      <c r="A204" s="210">
        <f>'Unit Data from Audit Worksheet'!A259</f>
        <v>102</v>
      </c>
      <c r="B204" s="223" t="str">
        <f>'Unit Data from Audit Worksheet'!C259</f>
        <v>Analysis of Current Tax Levy Schedule</v>
      </c>
      <c r="C204" s="209" t="str">
        <f>'Unit Data from Audit Worksheet'!D259</f>
        <v>Tax collection rate - Excluding Registered motor vehicles
Exclude supplemental taxes
(Enter as a percentage with two decimal places)</v>
      </c>
      <c r="D204" s="82"/>
      <c r="E204" s="141">
        <f>'Unit Data from Audit Worksheet'!F259</f>
        <v>0</v>
      </c>
      <c r="F204" s="80" t="str">
        <f>IF(L204=H204,"","Column H calculates the percentage using accounts 528 and 530,  please enter the correct amounts from the audit schedule for these cells")</f>
        <v/>
      </c>
      <c r="G204" s="224" t="str">
        <f>IF(Q181=1," Included in error count"," ")</f>
        <v xml:space="preserve"> </v>
      </c>
      <c r="H204" s="224">
        <f>ROUND(IFERROR(((L199)-(L201))/(L199)*100,0),2)</f>
        <v>0</v>
      </c>
      <c r="I204" s="32"/>
      <c r="J204" s="220">
        <v>102</v>
      </c>
      <c r="K204" s="52" t="s">
        <v>255</v>
      </c>
      <c r="L204" s="721">
        <f t="shared" si="18"/>
        <v>0</v>
      </c>
      <c r="N204" s="76"/>
      <c r="P204" s="197"/>
      <c r="X204" s="549">
        <v>102</v>
      </c>
      <c r="Y204" s="3">
        <v>102</v>
      </c>
      <c r="AA204" s="384">
        <f t="shared" si="16"/>
        <v>0</v>
      </c>
      <c r="AB204" s="284">
        <f t="shared" si="17"/>
        <v>0</v>
      </c>
    </row>
    <row r="205" spans="1:28" ht="87.75" customHeight="1" x14ac:dyDescent="0.3">
      <c r="A205" s="210">
        <f>'Unit Data from Audit Worksheet'!A260</f>
        <v>103</v>
      </c>
      <c r="B205" s="223" t="str">
        <f>'Unit Data from Audit Worksheet'!C260</f>
        <v>Analysis of Current Tax Levy Schedule</v>
      </c>
      <c r="C205" s="209" t="str">
        <f>'Unit Data from Audit Worksheet'!D260</f>
        <v>Tax collection rate - Registered motor vehicles
Exclude supplemental taxes
(Enter as a percentage with two decimal places)</v>
      </c>
      <c r="D205" s="82"/>
      <c r="E205" s="141">
        <f>'Unit Data from Audit Worksheet'!F260</f>
        <v>0</v>
      </c>
      <c r="F205" s="80" t="str">
        <f>IF(L205=H205,"","Column H calculates the percentage using accounts 529 and 531, please enter the correct amounts from the audit schedule for these cells")</f>
        <v/>
      </c>
      <c r="G205" s="224" t="str">
        <f>IF(Q182=1," Included in error count"," ")</f>
        <v xml:space="preserve"> </v>
      </c>
      <c r="H205" s="224">
        <f>ROUND(IFERROR(((L200)-(L202))/(L200)*100,0),2)</f>
        <v>0</v>
      </c>
      <c r="I205" s="32"/>
      <c r="J205" s="220">
        <v>103</v>
      </c>
      <c r="K205" s="52" t="s">
        <v>256</v>
      </c>
      <c r="L205" s="721">
        <f t="shared" si="18"/>
        <v>0</v>
      </c>
      <c r="N205" s="76"/>
      <c r="P205" s="197"/>
      <c r="X205" s="549">
        <v>103</v>
      </c>
      <c r="Y205" s="3">
        <v>103</v>
      </c>
      <c r="AA205" s="384">
        <f t="shared" si="16"/>
        <v>0</v>
      </c>
      <c r="AB205" s="284">
        <f t="shared" si="17"/>
        <v>0</v>
      </c>
    </row>
    <row r="206" spans="1:28" ht="86.25" customHeight="1" x14ac:dyDescent="0.3">
      <c r="A206" s="210">
        <f>'Unit Data from Audit Worksheet'!A261</f>
        <v>544</v>
      </c>
      <c r="B206" s="223" t="str">
        <f>'Unit Data from Audit Worksheet'!C261</f>
        <v>Analysis of Current Tax Levy Schedule</v>
      </c>
      <c r="C206" s="209" t="str">
        <f>'Unit Data from Audit Worksheet'!D261</f>
        <v>Property Tax Increase for Year Audited- enter amount of  increase in cents per $100 - leave blank if no increase 
Exclude supplemental taxes</v>
      </c>
      <c r="D206" s="228"/>
      <c r="E206" s="138">
        <f>'Unit Data from Audit Worksheet'!F261</f>
        <v>0</v>
      </c>
      <c r="F206" s="96"/>
      <c r="G206" s="224"/>
      <c r="H206" s="221">
        <f>'Unit Data from Audit Worksheet'!I261</f>
        <v>0</v>
      </c>
      <c r="I206" s="32"/>
      <c r="J206" s="220">
        <v>544</v>
      </c>
      <c r="K206" s="52" t="s">
        <v>52</v>
      </c>
      <c r="L206" s="323">
        <f t="shared" si="18"/>
        <v>0</v>
      </c>
      <c r="N206" s="54" t="s">
        <v>299</v>
      </c>
      <c r="P206" s="197"/>
      <c r="X206" s="549">
        <v>544</v>
      </c>
      <c r="Y206" s="3">
        <v>544</v>
      </c>
      <c r="AA206" s="384">
        <f t="shared" si="16"/>
        <v>0</v>
      </c>
      <c r="AB206" s="284">
        <f t="shared" si="17"/>
        <v>0</v>
      </c>
    </row>
    <row r="207" spans="1:28" ht="93.75" customHeight="1" x14ac:dyDescent="0.3">
      <c r="A207" s="210">
        <f>'Unit Data from Audit Worksheet'!A262</f>
        <v>545</v>
      </c>
      <c r="B207" s="223" t="str">
        <f>'Unit Data from Audit Worksheet'!C262</f>
        <v>Analysis of Current Tax Levy Schedule</v>
      </c>
      <c r="C207" s="209" t="str">
        <f>'Unit Data from Audit Worksheet'!D262</f>
        <v>Property Tax Increase for budget year after fiscal year being reported - enter amount of increase in cents per $100- leave blank if no increase
Exclude supplemental taxes</v>
      </c>
      <c r="D207" s="228"/>
      <c r="E207" s="138">
        <f>'Unit Data from Audit Worksheet'!F262</f>
        <v>0</v>
      </c>
      <c r="F207" s="222"/>
      <c r="G207" s="224"/>
      <c r="H207" s="221">
        <f>'Unit Data from Audit Worksheet'!I262</f>
        <v>0</v>
      </c>
      <c r="I207" s="32"/>
      <c r="J207" s="97">
        <v>545</v>
      </c>
      <c r="K207" s="52" t="s">
        <v>53</v>
      </c>
      <c r="L207" s="323">
        <f t="shared" si="18"/>
        <v>0</v>
      </c>
      <c r="N207" s="54" t="s">
        <v>299</v>
      </c>
      <c r="O207" s="295"/>
      <c r="P207" s="197"/>
      <c r="X207" s="549">
        <v>545</v>
      </c>
      <c r="Y207" s="3">
        <v>545</v>
      </c>
      <c r="AA207" s="384">
        <f t="shared" si="16"/>
        <v>0</v>
      </c>
      <c r="AB207" s="284">
        <f t="shared" si="17"/>
        <v>0</v>
      </c>
    </row>
    <row r="208" spans="1:28" ht="72.75" customHeight="1" x14ac:dyDescent="0.3">
      <c r="A208" s="210">
        <f>'Unit Data from Audit Worksheet'!A263</f>
        <v>624</v>
      </c>
      <c r="B208" s="223"/>
      <c r="C208" s="209" t="str">
        <f>'Unit Data from Audit Worksheet'!D263</f>
        <v>Does the County collect real estate property taxes on your behalf? Select "1" for "yes and "2" for "No"</v>
      </c>
      <c r="D208" s="228"/>
      <c r="E208" s="146">
        <f>'Unit Data from Audit Worksheet'!F263</f>
        <v>0</v>
      </c>
      <c r="F208" s="222"/>
      <c r="G208" s="224"/>
      <c r="H208" s="221"/>
      <c r="I208" s="32"/>
      <c r="J208" s="97">
        <v>624</v>
      </c>
      <c r="K208" s="52" t="s">
        <v>356</v>
      </c>
      <c r="L208" s="287">
        <f t="shared" ref="L208:L226" si="19">IF(D208="",E208,D208)</f>
        <v>0</v>
      </c>
      <c r="P208" s="197"/>
      <c r="X208" s="549">
        <v>624</v>
      </c>
      <c r="Y208" s="3">
        <v>624</v>
      </c>
      <c r="AA208" s="384">
        <f t="shared" si="16"/>
        <v>0</v>
      </c>
      <c r="AB208" s="284">
        <f t="shared" si="17"/>
        <v>0</v>
      </c>
    </row>
    <row r="209" spans="1:28" ht="72.75" customHeight="1" x14ac:dyDescent="0.3">
      <c r="A209" s="210">
        <f>'Unit Data from Audit Worksheet'!A264</f>
        <v>648</v>
      </c>
      <c r="B209" s="223"/>
      <c r="C209" s="209" t="str">
        <f>'Unit Data from Audit Worksheet'!D264</f>
        <v>Please enter your tax rate for ad valorem in effect for fiscal year audited.  Example 60 cents per 100 would be entered as .60</v>
      </c>
      <c r="D209" s="228"/>
      <c r="E209" s="138">
        <f>'Unit Data from Audit Worksheet'!F264</f>
        <v>0</v>
      </c>
      <c r="F209" s="222"/>
      <c r="G209" s="224"/>
      <c r="H209" s="221"/>
      <c r="I209" s="32"/>
      <c r="J209" s="97">
        <v>648</v>
      </c>
      <c r="K209" s="324" t="s">
        <v>597</v>
      </c>
      <c r="L209" s="722">
        <f t="shared" si="19"/>
        <v>0</v>
      </c>
      <c r="P209" s="197"/>
      <c r="X209" s="549">
        <v>648</v>
      </c>
      <c r="Y209" s="3">
        <v>648</v>
      </c>
      <c r="AA209" s="384">
        <f t="shared" si="16"/>
        <v>0</v>
      </c>
      <c r="AB209" s="284">
        <f t="shared" si="17"/>
        <v>0</v>
      </c>
    </row>
    <row r="210" spans="1:28" ht="161.25" customHeight="1" x14ac:dyDescent="0.3">
      <c r="A210" s="210">
        <f>'Unit Data from Audit Worksheet'!A265</f>
        <v>991</v>
      </c>
      <c r="B210" s="223"/>
      <c r="C210" s="209" t="str">
        <f>'Unit Data from Audit Worksheet'!D265</f>
        <v>The Counties listed in cell H260 and municipalities within these counties are scheduled to revalue property listing by 1/1/2025 according to the Dept. of Revenue records.  Please indicate if you expect your revaluation to: 
Enter  "20" for increase, 
            "21" for decrease, 
            "22" for no change,
            "23" if this question is not applicable
Select from drop list.</v>
      </c>
      <c r="D210" s="228"/>
      <c r="E210" s="146">
        <f>'Unit Data from Audit Worksheet'!F265</f>
        <v>0</v>
      </c>
      <c r="F210" s="222"/>
      <c r="G210" s="224"/>
      <c r="H210" s="221" t="str">
        <f>'Unit Data from Audit Worksheet'!H265</f>
        <v xml:space="preserve">Beaufort, Buncombe, Caldwell, Carteret, Chatham, Cleveland, Cumberland, Dare, Davie, Duplin, Durham, Forsyth, Gates, Haywood, Jackson, Johnston, Lenoir, Martin, New Hanover, Orange, Person, Polk, Stanly, Stokes, Surry, Transylvania, Tyrrell, Union, Warren, Wayne, Wilkes </v>
      </c>
      <c r="I210" s="32"/>
      <c r="J210" s="97">
        <v>991</v>
      </c>
      <c r="K210" s="52" t="s">
        <v>856</v>
      </c>
      <c r="L210" s="287">
        <f t="shared" si="19"/>
        <v>0</v>
      </c>
      <c r="P210" s="197"/>
      <c r="X210" s="549">
        <v>991</v>
      </c>
      <c r="Y210" s="3">
        <v>991</v>
      </c>
      <c r="AA210" s="384">
        <f t="shared" ref="AA210:AA260" si="20">A210-J210</f>
        <v>0</v>
      </c>
      <c r="AB210" s="284">
        <f t="shared" ref="AB210:AB246" si="21">E210-L210</f>
        <v>0</v>
      </c>
    </row>
    <row r="211" spans="1:28" ht="87.75" customHeight="1" x14ac:dyDescent="0.3">
      <c r="A211" s="210">
        <f>'Unit Data from Audit Worksheet'!A267</f>
        <v>620</v>
      </c>
      <c r="B211" s="223"/>
      <c r="C211" s="209" t="str">
        <f>'Unit Data from Audit Worksheet'!D267</f>
        <v>Do you expect to issue debt requiring LGC approval within 12 months from the date that the audit is submitted - select "1" for yes and "2" for no</v>
      </c>
      <c r="D211" s="228"/>
      <c r="E211" s="146">
        <f>'Unit Data from Audit Worksheet'!F267</f>
        <v>0</v>
      </c>
      <c r="F211" s="222"/>
      <c r="G211" s="224"/>
      <c r="H211" s="221">
        <f>'Unit Data from Audit Worksheet'!I267</f>
        <v>0</v>
      </c>
      <c r="I211" s="32"/>
      <c r="J211" s="97">
        <v>620</v>
      </c>
      <c r="K211" s="52" t="s">
        <v>593</v>
      </c>
      <c r="L211" s="287">
        <f t="shared" si="19"/>
        <v>0</v>
      </c>
      <c r="N211" s="128"/>
      <c r="P211" s="197"/>
      <c r="X211" s="549">
        <v>620</v>
      </c>
      <c r="Y211" s="3">
        <v>620</v>
      </c>
      <c r="AA211" s="384">
        <f t="shared" si="20"/>
        <v>0</v>
      </c>
      <c r="AB211" s="284">
        <f t="shared" si="21"/>
        <v>0</v>
      </c>
    </row>
    <row r="212" spans="1:28" ht="87.75" customHeight="1" x14ac:dyDescent="0.3">
      <c r="A212" s="210">
        <f>'TD Info Completed by Auditor'!A11</f>
        <v>906</v>
      </c>
      <c r="B212" s="124" t="s">
        <v>590</v>
      </c>
      <c r="C212" s="210" t="str">
        <f>'TD Info Completed by Auditor'!B11</f>
        <v>Is the Independent Auditor's Report Opinion Unmodified?</v>
      </c>
      <c r="D212" s="228"/>
      <c r="E212" s="212">
        <f>IF(+'TD Info Completed by Auditor'!C11="Yes",1,IF(+'TD Info Completed by Auditor'!C11="No",2,IF(+'TD Info Completed by Auditor'!C11="N/A",3,0)))</f>
        <v>0</v>
      </c>
      <c r="F212" s="222"/>
      <c r="G212" s="224"/>
      <c r="H212" s="221"/>
      <c r="I212" s="32"/>
      <c r="J212" s="182">
        <v>906</v>
      </c>
      <c r="K212" s="52" t="s">
        <v>467</v>
      </c>
      <c r="L212" s="293">
        <f t="shared" si="19"/>
        <v>0</v>
      </c>
      <c r="N212" s="244" t="s">
        <v>644</v>
      </c>
      <c r="P212" s="193"/>
      <c r="X212" s="284" t="e">
        <v>#N/A</v>
      </c>
      <c r="AA212" s="384">
        <f t="shared" si="20"/>
        <v>0</v>
      </c>
      <c r="AB212" s="284">
        <f t="shared" si="21"/>
        <v>0</v>
      </c>
    </row>
    <row r="213" spans="1:28" ht="87.75" customHeight="1" x14ac:dyDescent="0.3">
      <c r="A213" s="210">
        <f>'TD Info Completed by Auditor'!A12</f>
        <v>907</v>
      </c>
      <c r="B213" s="124" t="s">
        <v>590</v>
      </c>
      <c r="C213" s="210" t="str">
        <f>'TD Info Completed by Auditor'!B12</f>
        <v xml:space="preserve">Is there a finding for lack of segregation of duties at this unit? </v>
      </c>
      <c r="D213" s="228"/>
      <c r="E213" s="212">
        <f>IF(+'TD Info Completed by Auditor'!C12="Yes",1,IF(+'TD Info Completed by Auditor'!C12="No",2,IF(+'TD Info Completed by Auditor'!C12="N/A",3,0)))</f>
        <v>0</v>
      </c>
      <c r="F213" s="222"/>
      <c r="G213" s="224"/>
      <c r="H213" s="221"/>
      <c r="I213" s="32"/>
      <c r="J213" s="182">
        <v>907</v>
      </c>
      <c r="K213" s="52" t="s">
        <v>468</v>
      </c>
      <c r="L213" s="293">
        <f t="shared" si="19"/>
        <v>0</v>
      </c>
      <c r="N213" s="244" t="s">
        <v>644</v>
      </c>
      <c r="P213" s="194"/>
      <c r="X213" s="284" t="e">
        <v>#N/A</v>
      </c>
      <c r="Y213" s="384"/>
      <c r="AA213" s="384">
        <f t="shared" si="20"/>
        <v>0</v>
      </c>
      <c r="AB213" s="284">
        <f t="shared" si="21"/>
        <v>0</v>
      </c>
    </row>
    <row r="214" spans="1:28" s="384" customFormat="1" ht="87.75" customHeight="1" x14ac:dyDescent="0.3">
      <c r="A214" s="210">
        <f>'TD Info Completed by Auditor'!A13</f>
        <v>1055</v>
      </c>
      <c r="B214" s="124"/>
      <c r="C214" s="210" t="str">
        <f>'TD Info Completed by Auditor'!B13</f>
        <v xml:space="preserve"> Did your audit disclose bank reconciliations or subsidiary ledger reconciliations not performed timely? (Yes or No)</v>
      </c>
      <c r="D214" s="228"/>
      <c r="E214" s="212">
        <f>IF(+'TD Info Completed by Auditor'!C13="Yes",1,IF(+'TD Info Completed by Auditor'!C13="No",2,IF(+'TD Info Completed by Auditor'!C13="N/A",3,0)))</f>
        <v>0</v>
      </c>
      <c r="F214" s="222"/>
      <c r="G214" s="224"/>
      <c r="H214" s="221"/>
      <c r="I214" s="32"/>
      <c r="J214" s="182">
        <v>1055</v>
      </c>
      <c r="K214" s="210" t="s">
        <v>1526</v>
      </c>
      <c r="L214" s="293">
        <f t="shared" si="19"/>
        <v>0</v>
      </c>
      <c r="M214"/>
      <c r="N214" s="244" t="s">
        <v>644</v>
      </c>
      <c r="P214" s="195"/>
      <c r="Q214" s="277"/>
      <c r="X214" s="284"/>
      <c r="AA214" s="384">
        <f t="shared" si="20"/>
        <v>0</v>
      </c>
      <c r="AB214" s="284"/>
    </row>
    <row r="215" spans="1:28" s="384" customFormat="1" ht="87.75" customHeight="1" x14ac:dyDescent="0.3">
      <c r="A215" s="210">
        <f>'TD Info Completed by Auditor'!A14</f>
        <v>1056</v>
      </c>
      <c r="B215" s="124"/>
      <c r="C215" s="210" t="str">
        <f>'TD Info Completed by Auditor'!B14</f>
        <v>Did your audit disclose as a finding that the unit’s records were not completed by the agreed upon time? (Yes or No)</v>
      </c>
      <c r="D215" s="228"/>
      <c r="E215" s="212">
        <f>IF(+'TD Info Completed by Auditor'!C14="Yes",1,IF(+'TD Info Completed by Auditor'!C14="No",2,IF(+'TD Info Completed by Auditor'!C14="N/A",3,0)))</f>
        <v>0</v>
      </c>
      <c r="F215" s="222"/>
      <c r="G215" s="224"/>
      <c r="H215" s="221"/>
      <c r="I215" s="32"/>
      <c r="J215" s="182">
        <v>1056</v>
      </c>
      <c r="K215" s="210" t="s">
        <v>1527</v>
      </c>
      <c r="L215" s="293">
        <f t="shared" si="19"/>
        <v>0</v>
      </c>
      <c r="M215"/>
      <c r="N215" s="244" t="s">
        <v>644</v>
      </c>
      <c r="P215" s="195"/>
      <c r="Q215" s="277"/>
      <c r="X215" s="284"/>
      <c r="AA215" s="384">
        <f t="shared" si="20"/>
        <v>0</v>
      </c>
      <c r="AB215" s="284"/>
    </row>
    <row r="216" spans="1:28" s="384" customFormat="1" ht="87.75" customHeight="1" x14ac:dyDescent="0.3">
      <c r="A216" s="210">
        <f>'TD Info Completed by Auditor'!A15</f>
        <v>1057</v>
      </c>
      <c r="B216" s="124"/>
      <c r="C216" s="210" t="str">
        <f>'TD Info Completed by Auditor'!B15</f>
        <v>Did your audit disclose any budget violations at the adopted ordinance level? (Yes or No)</v>
      </c>
      <c r="D216" s="228"/>
      <c r="E216" s="212">
        <f>IF(+'TD Info Completed by Auditor'!C15="Yes",1,IF(+'TD Info Completed by Auditor'!C15="No",2,IF(+'TD Info Completed by Auditor'!C15="N/A",3,0)))</f>
        <v>0</v>
      </c>
      <c r="F216" s="222"/>
      <c r="G216" s="224"/>
      <c r="H216" s="221"/>
      <c r="I216" s="32"/>
      <c r="J216" s="182">
        <v>1057</v>
      </c>
      <c r="K216" s="765" t="s">
        <v>1929</v>
      </c>
      <c r="L216" s="293">
        <f t="shared" si="19"/>
        <v>0</v>
      </c>
      <c r="M216"/>
      <c r="N216" s="244" t="s">
        <v>644</v>
      </c>
      <c r="P216" s="195"/>
      <c r="Q216" s="277"/>
      <c r="X216" s="284"/>
      <c r="AA216" s="384">
        <f t="shared" si="20"/>
        <v>0</v>
      </c>
      <c r="AB216" s="284"/>
    </row>
    <row r="217" spans="1:28" s="384" customFormat="1" ht="87.75" customHeight="1" x14ac:dyDescent="0.3">
      <c r="A217" s="210">
        <f>'TD Info Completed by Auditor'!A16</f>
        <v>1058</v>
      </c>
      <c r="B217" s="124"/>
      <c r="C217" s="210" t="str">
        <f>'TD Info Completed by Auditor'!B16</f>
        <v>Did your audit disclose as a finding any statutory violations? (not including budget violations) (Yes or No) If the answer  is "Yes", review whether this needs to be disclosed in the Stewardship, Compliance and Accountability Note</v>
      </c>
      <c r="D217" s="228"/>
      <c r="E217" s="212">
        <f>IF(+'TD Info Completed by Auditor'!C16="Yes",1,IF(+'TD Info Completed by Auditor'!C16="No",2,IF(+'TD Info Completed by Auditor'!C16="N/A",3,0)))</f>
        <v>0</v>
      </c>
      <c r="F217" s="222"/>
      <c r="G217" s="224"/>
      <c r="H217" s="221"/>
      <c r="I217" s="32"/>
      <c r="J217" s="182">
        <v>1058</v>
      </c>
      <c r="K217" s="179" t="s">
        <v>1528</v>
      </c>
      <c r="L217" s="293">
        <f t="shared" si="19"/>
        <v>0</v>
      </c>
      <c r="M217"/>
      <c r="N217" s="244" t="s">
        <v>644</v>
      </c>
      <c r="P217" s="195"/>
      <c r="Q217" s="277"/>
      <c r="X217" s="284"/>
      <c r="AA217" s="384">
        <f t="shared" si="20"/>
        <v>0</v>
      </c>
      <c r="AB217" s="284"/>
    </row>
    <row r="218" spans="1:28" s="384" customFormat="1" ht="159" customHeight="1" x14ac:dyDescent="0.3">
      <c r="A218" s="210">
        <f>'TD Info Completed by Auditor'!A17</f>
        <v>1059</v>
      </c>
      <c r="B218" s="124"/>
      <c r="C218" s="302" t="str">
        <f>'TD Info Completed by Auditor'!B17</f>
        <v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218" s="228"/>
      <c r="E218" s="212">
        <f>IF(+'TD Info Completed by Auditor'!C17="Yes",1,IF(+'TD Info Completed by Auditor'!C17="No",2,IF(+'TD Info Completed by Auditor'!C17="N/A",3,0)))</f>
        <v>0</v>
      </c>
      <c r="F218" s="222"/>
      <c r="G218" s="224"/>
      <c r="H218" s="221"/>
      <c r="I218" s="32"/>
      <c r="J218" s="182">
        <v>1059</v>
      </c>
      <c r="K218" s="765" t="s">
        <v>1563</v>
      </c>
      <c r="L218" s="293">
        <f t="shared" si="19"/>
        <v>0</v>
      </c>
      <c r="M218"/>
      <c r="N218" s="244" t="s">
        <v>644</v>
      </c>
      <c r="P218" s="195"/>
      <c r="Q218" s="277"/>
      <c r="X218" s="284"/>
      <c r="AA218" s="384">
        <f t="shared" si="20"/>
        <v>0</v>
      </c>
      <c r="AB218" s="284"/>
    </row>
    <row r="219" spans="1:28" s="384" customFormat="1" ht="159" customHeight="1" x14ac:dyDescent="0.3">
      <c r="A219" s="302">
        <v>1078</v>
      </c>
      <c r="B219" s="207"/>
      <c r="C219" s="302" t="str">
        <f>'TD Info Completed by Auditor'!B18</f>
        <v>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v>
      </c>
      <c r="D219" s="228"/>
      <c r="E219" s="980">
        <f>IF(+'TD Info Completed by Auditor'!C18="Yes",1,IF(+'TD Info Completed by Auditor'!C18="No",2,IF(+'TD Info Completed by Auditor'!C18="N/A",3,0)))</f>
        <v>0</v>
      </c>
      <c r="F219" s="225"/>
      <c r="G219" s="224"/>
      <c r="H219" s="221"/>
      <c r="I219" s="32"/>
      <c r="J219" s="119">
        <v>1078</v>
      </c>
      <c r="K219" s="302" t="s">
        <v>1927</v>
      </c>
      <c r="L219" s="981">
        <f t="shared" si="19"/>
        <v>0</v>
      </c>
      <c r="M219" s="180"/>
      <c r="N219" s="244"/>
      <c r="P219" s="195"/>
      <c r="Q219" s="277"/>
      <c r="X219" s="284"/>
      <c r="AB219" s="284"/>
    </row>
    <row r="220" spans="1:28" s="384" customFormat="1" ht="133.19999999999999" customHeight="1" x14ac:dyDescent="0.3">
      <c r="A220" s="302">
        <v>1067</v>
      </c>
      <c r="B220" s="207"/>
      <c r="C220" s="302" t="str">
        <f>'TD Info Completed by Auditor'!B19</f>
        <v>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v>
      </c>
      <c r="D220" s="228"/>
      <c r="E220" s="212">
        <f>IF(+'TD Info Completed by Auditor'!C19="Yes",1,IF(+'TD Info Completed by Auditor'!C19="No",2,IF(+'TD Info Completed by Auditor'!C19="N/A",3,0)))</f>
        <v>0</v>
      </c>
      <c r="G220" s="222"/>
      <c r="H220" s="221"/>
      <c r="I220" s="32"/>
      <c r="J220" s="119">
        <v>1067</v>
      </c>
      <c r="K220" s="302" t="s">
        <v>1923</v>
      </c>
      <c r="L220" s="304">
        <f t="shared" si="19"/>
        <v>0</v>
      </c>
      <c r="M220" s="180"/>
      <c r="N220" s="244" t="s">
        <v>644</v>
      </c>
      <c r="P220" s="195"/>
      <c r="Q220" s="277"/>
      <c r="X220" s="284"/>
      <c r="AB220" s="284"/>
    </row>
    <row r="221" spans="1:28" s="384" customFormat="1" ht="87.75" customHeight="1" x14ac:dyDescent="0.3">
      <c r="A221" s="210">
        <f>'TD Info Completed by Auditor'!A20</f>
        <v>951</v>
      </c>
      <c r="B221" s="124" t="s">
        <v>590</v>
      </c>
      <c r="C221" s="210" t="str">
        <f>'TD Info Completed by Auditor'!B20</f>
        <v>Is there a finding for lack of technical skills, knowledge and experience (SKE) at this unit?</v>
      </c>
      <c r="D221" s="228"/>
      <c r="E221" s="212">
        <f>IF(+'TD Info Completed by Auditor'!C20="Yes",1,IF(+'TD Info Completed by Auditor'!C20="No",2,IF(+'TD Info Completed by Auditor'!C20="N/A",3,0)))</f>
        <v>0</v>
      </c>
      <c r="F221" s="222"/>
      <c r="G221" s="224"/>
      <c r="H221" s="221"/>
      <c r="I221" s="32"/>
      <c r="J221" s="182">
        <v>951</v>
      </c>
      <c r="K221" s="52" t="s">
        <v>469</v>
      </c>
      <c r="L221" s="293">
        <f>IF(D221="",E221,D221)</f>
        <v>0</v>
      </c>
      <c r="M221"/>
      <c r="N221" s="244" t="s">
        <v>644</v>
      </c>
      <c r="P221" s="195"/>
      <c r="Q221" s="277"/>
      <c r="X221" s="284"/>
      <c r="AB221" s="284"/>
    </row>
    <row r="222" spans="1:28" ht="87.75" customHeight="1" x14ac:dyDescent="0.3">
      <c r="A222" s="210">
        <f>'TD Info Completed by Auditor'!A21</f>
        <v>953</v>
      </c>
      <c r="B222" s="124" t="s">
        <v>590</v>
      </c>
      <c r="C222" s="210" t="str">
        <f>'TD Info Completed by Auditor'!B21</f>
        <v xml:space="preserve">Is there is a going concern noted in the audit report? </v>
      </c>
      <c r="D222" s="228"/>
      <c r="E222" s="212">
        <f>IF(+'TD Info Completed by Auditor'!C21="Yes",1,IF(+'TD Info Completed by Auditor'!C21="No",2,IF(+'TD Info Completed by Auditor'!C21="N/A",3,0)))</f>
        <v>0</v>
      </c>
      <c r="F222" s="222"/>
      <c r="G222" s="224"/>
      <c r="H222" s="221"/>
      <c r="I222" s="32"/>
      <c r="J222" s="182">
        <v>953</v>
      </c>
      <c r="K222" s="979" t="s">
        <v>1928</v>
      </c>
      <c r="L222" s="293">
        <f t="shared" si="19"/>
        <v>0</v>
      </c>
      <c r="N222" s="244" t="s">
        <v>644</v>
      </c>
      <c r="P222" s="195"/>
      <c r="X222" s="284" t="e">
        <v>#N/A</v>
      </c>
      <c r="Y222" s="384"/>
      <c r="AA222" s="384">
        <f t="shared" si="20"/>
        <v>0</v>
      </c>
      <c r="AB222" s="284">
        <f t="shared" si="21"/>
        <v>0</v>
      </c>
    </row>
    <row r="223" spans="1:28" ht="87.75" customHeight="1" x14ac:dyDescent="0.3">
      <c r="A223" s="210">
        <f>'TD Info Completed by Auditor'!A22</f>
        <v>955</v>
      </c>
      <c r="B223" s="124" t="s">
        <v>590</v>
      </c>
      <c r="C223" s="210" t="str">
        <f>'TD Info Completed by Auditor'!B22</f>
        <v>Number of significant deficiency findings (financial statement findings only)
Exclude findings reported in questions  907, 951</v>
      </c>
      <c r="D223" s="228"/>
      <c r="E223" s="212">
        <f>'TD Info Completed by Auditor'!C22</f>
        <v>0</v>
      </c>
      <c r="F223" s="222"/>
      <c r="G223" s="224"/>
      <c r="H223" s="221"/>
      <c r="I223" s="32"/>
      <c r="J223" s="182">
        <v>955</v>
      </c>
      <c r="K223" s="52" t="s">
        <v>594</v>
      </c>
      <c r="L223" s="293">
        <f t="shared" si="19"/>
        <v>0</v>
      </c>
      <c r="N223" s="244" t="s">
        <v>644</v>
      </c>
      <c r="P223" s="195"/>
      <c r="X223" s="284" t="e">
        <v>#N/A</v>
      </c>
      <c r="Y223" s="384"/>
      <c r="AA223" s="384">
        <f t="shared" si="20"/>
        <v>0</v>
      </c>
      <c r="AB223" s="284">
        <f t="shared" si="21"/>
        <v>0</v>
      </c>
    </row>
    <row r="224" spans="1:28" ht="87.75" customHeight="1" x14ac:dyDescent="0.3">
      <c r="A224" s="210">
        <f>'TD Info Completed by Auditor'!A23</f>
        <v>957</v>
      </c>
      <c r="B224" s="124" t="s">
        <v>590</v>
      </c>
      <c r="C224" s="210" t="str">
        <f>'TD Info Completed by Auditor'!B23</f>
        <v>Number of material weakness findings (financial statement findings only)
Exclude findings reported in questions  907, 951</v>
      </c>
      <c r="D224" s="228"/>
      <c r="E224" s="212">
        <f>'TD Info Completed by Auditor'!C23</f>
        <v>0</v>
      </c>
      <c r="F224" s="222"/>
      <c r="G224" s="224"/>
      <c r="H224" s="221"/>
      <c r="I224" s="32"/>
      <c r="J224" s="182">
        <v>957</v>
      </c>
      <c r="K224" s="52" t="s">
        <v>595</v>
      </c>
      <c r="L224" s="293">
        <f t="shared" si="19"/>
        <v>0</v>
      </c>
      <c r="N224" s="244" t="s">
        <v>644</v>
      </c>
      <c r="P224" s="195"/>
      <c r="X224" s="284" t="e">
        <v>#N/A</v>
      </c>
      <c r="Y224" s="384"/>
      <c r="AA224" s="384">
        <f t="shared" si="20"/>
        <v>0</v>
      </c>
      <c r="AB224" s="284">
        <f t="shared" si="21"/>
        <v>0</v>
      </c>
    </row>
    <row r="225" spans="1:28" ht="289.2" customHeight="1" x14ac:dyDescent="0.3">
      <c r="A225" s="210">
        <f>'TD Info Completed by Auditor'!A24</f>
        <v>973</v>
      </c>
      <c r="B225" s="124" t="s">
        <v>590</v>
      </c>
      <c r="C225" s="210" t="str">
        <f>'TD Info Completed by Auditor'!B24</f>
        <v>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v>
      </c>
      <c r="D225" s="228"/>
      <c r="E225" s="212">
        <f>IF(+'TD Info Completed by Auditor'!C24&gt;0,1,IF(+'TD Info Completed by Auditor'!C24&gt;0,2,IF(+'TD Info Completed by Auditor'!C24&gt;0,3,0)))</f>
        <v>0</v>
      </c>
      <c r="F225" s="222"/>
      <c r="G225" s="224"/>
      <c r="H225" s="221"/>
      <c r="I225" s="32"/>
      <c r="J225" s="182">
        <v>973</v>
      </c>
      <c r="K225" s="52" t="s">
        <v>1488</v>
      </c>
      <c r="L225" s="293">
        <f>IF(D225="",E225,D225)</f>
        <v>0</v>
      </c>
      <c r="N225" s="244" t="s">
        <v>644</v>
      </c>
      <c r="P225" s="201"/>
      <c r="X225" s="284" t="e">
        <v>#N/A</v>
      </c>
      <c r="Y225" s="384"/>
      <c r="AA225" s="384">
        <f>A225-J225</f>
        <v>0</v>
      </c>
      <c r="AB225" s="284">
        <f>E225-L225</f>
        <v>0</v>
      </c>
    </row>
    <row r="226" spans="1:28" ht="87.75" customHeight="1" x14ac:dyDescent="0.3">
      <c r="A226" s="210">
        <f>'TD Info Completed by Auditor'!A25</f>
        <v>959</v>
      </c>
      <c r="B226" s="124" t="s">
        <v>590</v>
      </c>
      <c r="C226" s="210" t="str">
        <f>'TD Info Completed by Auditor'!B25</f>
        <v>Did the Unit have debt service payments deferred or restructured in this fiscal year? (does not include refinancings designed to take advantage of lower interest rates)  Select Yes, No, or NA</v>
      </c>
      <c r="D226" s="228"/>
      <c r="E226" s="212">
        <f>IF(+'TD Info Completed by Auditor'!C25="Yes",1,IF(+'TD Info Completed by Auditor'!C25="No",2,IF(+'TD Info Completed by Auditor'!C25="N/A",3,0)))</f>
        <v>0</v>
      </c>
      <c r="F226" s="222"/>
      <c r="G226" s="224"/>
      <c r="H226" s="221"/>
      <c r="I226" s="32"/>
      <c r="J226" s="182">
        <v>959</v>
      </c>
      <c r="K226" s="52" t="s">
        <v>646</v>
      </c>
      <c r="L226" s="293">
        <f t="shared" si="19"/>
        <v>0</v>
      </c>
      <c r="N226" s="244" t="s">
        <v>644</v>
      </c>
      <c r="P226" s="195"/>
      <c r="X226" s="284" t="e">
        <v>#N/A</v>
      </c>
      <c r="Y226" s="384"/>
      <c r="AA226" s="384">
        <f t="shared" si="20"/>
        <v>0</v>
      </c>
      <c r="AB226" s="284">
        <f t="shared" si="21"/>
        <v>0</v>
      </c>
    </row>
    <row r="227" spans="1:28" s="384" customFormat="1" ht="177.75" customHeight="1" x14ac:dyDescent="0.3">
      <c r="A227" s="210">
        <f>'TD Info Completed by Auditor'!A26</f>
        <v>974</v>
      </c>
      <c r="B227" s="124" t="s">
        <v>590</v>
      </c>
      <c r="C227" s="210" t="str">
        <f>'TD Info Completed by Auditor'!B26</f>
        <v>Did the Unit have any of the following occur:
1.  Bond covenants were not met
2.  Debt service payments made late?  Deferred payments authorized by LGC or other state
     agencies should not be counted as late for purposes of this question.</v>
      </c>
      <c r="D227" s="228"/>
      <c r="E227" s="212">
        <f>IF(+'TD Info Completed by Auditor'!C26="Yes",1,IF(+'TD Info Completed by Auditor'!C26="No",2,IF(+'TD Info Completed by Auditor'!C26="N/A",3,0)))</f>
        <v>0</v>
      </c>
      <c r="F227" s="222"/>
      <c r="G227" s="224"/>
      <c r="H227" s="221"/>
      <c r="I227" s="32"/>
      <c r="J227" s="182">
        <v>974</v>
      </c>
      <c r="K227" s="52" t="s">
        <v>793</v>
      </c>
      <c r="L227" s="293">
        <f t="shared" ref="L227" si="22">IF(D227="",E227,D227)</f>
        <v>0</v>
      </c>
      <c r="M227"/>
      <c r="N227" s="244" t="s">
        <v>644</v>
      </c>
      <c r="P227" s="201"/>
      <c r="Q227" s="277"/>
      <c r="X227" s="284"/>
      <c r="AB227" s="284"/>
    </row>
    <row r="228" spans="1:28" ht="87.75" customHeight="1" x14ac:dyDescent="0.3">
      <c r="A228" s="210">
        <f>'TD Info Completed by Auditor'!A33</f>
        <v>975</v>
      </c>
      <c r="B228" s="124" t="s">
        <v>590</v>
      </c>
      <c r="C228" s="209" t="str">
        <f>'TD Info Completed by Auditor'!B33</f>
        <v>Does the Performance Indicator Print worksheet in this workbook have a red shaded cell?</v>
      </c>
      <c r="D228" s="228"/>
      <c r="E228" s="212">
        <f>IF(+'TD Info Completed by Auditor'!C33="Yes",1,IF(+'TD Info Completed by Auditor'!C33="No",2,IF(+'TD Info Completed by Auditor'!C33="N/A",3,0)))</f>
        <v>0</v>
      </c>
      <c r="F228" s="222"/>
      <c r="G228" s="224"/>
      <c r="H228" s="221"/>
      <c r="I228" s="32"/>
      <c r="J228" s="182">
        <v>975</v>
      </c>
      <c r="K228" s="979" t="s">
        <v>1930</v>
      </c>
      <c r="L228" s="293">
        <f>IF(D228="",E228,D228)</f>
        <v>0</v>
      </c>
      <c r="N228" s="244" t="s">
        <v>644</v>
      </c>
      <c r="P228" s="201"/>
      <c r="Q228" s="316"/>
      <c r="X228" s="284" t="e">
        <v>#N/A</v>
      </c>
      <c r="Y228" s="384"/>
      <c r="AA228" s="384">
        <f t="shared" si="20"/>
        <v>0</v>
      </c>
      <c r="AB228" s="284">
        <f t="shared" si="21"/>
        <v>0</v>
      </c>
    </row>
    <row r="229" spans="1:28" s="384" customFormat="1" ht="87.75" customHeight="1" x14ac:dyDescent="0.3">
      <c r="A229" s="302">
        <v>1068</v>
      </c>
      <c r="B229" s="302" t="s">
        <v>590</v>
      </c>
      <c r="C229" s="302" t="str">
        <f>'TD Info Completed by Auditor'!B35</f>
        <v xml:space="preserve">Does the unit have a self-insurance fund? </v>
      </c>
      <c r="D229" s="228"/>
      <c r="E229" s="766">
        <f>IF(+'TD Info Completed by Auditor'!C35="Yes",1,IF(+'TD Info Completed by Auditor'!C35="No",2,IF(+'TD Info Completed by Auditor'!C35="N/A",3,0)))</f>
        <v>0</v>
      </c>
      <c r="F229" s="767"/>
      <c r="G229" s="768"/>
      <c r="H229" s="769"/>
      <c r="I229" s="32"/>
      <c r="J229" s="770">
        <v>1068</v>
      </c>
      <c r="K229" s="302" t="s">
        <v>1568</v>
      </c>
      <c r="L229" s="982">
        <f t="shared" ref="L229:L232" si="23">IF(D229="",E229,D229)</f>
        <v>0</v>
      </c>
      <c r="M229" s="180"/>
      <c r="N229" s="244" t="s">
        <v>644</v>
      </c>
      <c r="P229" s="201"/>
      <c r="Q229" s="316"/>
      <c r="X229" s="284"/>
      <c r="AB229" s="284"/>
    </row>
    <row r="230" spans="1:28" s="384" customFormat="1" ht="87.75" customHeight="1" x14ac:dyDescent="0.3">
      <c r="A230" s="302">
        <v>1069</v>
      </c>
      <c r="B230" s="302" t="s">
        <v>590</v>
      </c>
      <c r="C230" s="620" t="str">
        <f>'TD Info Completed by Auditor'!B36</f>
        <v>If the unit is self-insured for employee health care, does the unit use a qualified consultant to establish rates and appropriate reserve levels?</v>
      </c>
      <c r="D230" s="228"/>
      <c r="E230" s="766">
        <f>IF(+'TD Info Completed by Auditor'!C36="Yes",1,IF(+'TD Info Completed by Auditor'!C36="No",2,IF(+'TD Info Completed by Auditor'!C36="N/A",3,0)))</f>
        <v>0</v>
      </c>
      <c r="F230" s="767"/>
      <c r="G230" s="768"/>
      <c r="H230" s="769"/>
      <c r="I230" s="32"/>
      <c r="J230" s="770">
        <v>1069</v>
      </c>
      <c r="K230" s="620" t="s">
        <v>1574</v>
      </c>
      <c r="L230" s="982">
        <f t="shared" si="23"/>
        <v>0</v>
      </c>
      <c r="M230" s="180"/>
      <c r="N230" s="244" t="s">
        <v>644</v>
      </c>
      <c r="P230" s="201"/>
      <c r="Q230" s="316"/>
      <c r="X230" s="284"/>
      <c r="AB230" s="284"/>
    </row>
    <row r="231" spans="1:28" s="384" customFormat="1" ht="96" customHeight="1" x14ac:dyDescent="0.3">
      <c r="A231" s="302">
        <v>1070</v>
      </c>
      <c r="B231" s="302" t="s">
        <v>590</v>
      </c>
      <c r="C231" s="302" t="str">
        <f>'TD Info Completed by Auditor'!B37</f>
        <v>Does the Unit have a non-state administered pension plan?
(Note - OPEB is not a pension plan.)</v>
      </c>
      <c r="D231" s="228"/>
      <c r="E231" s="766">
        <f>IF(+'TD Info Completed by Auditor'!C37="Yes",1,IF(+'TD Info Completed by Auditor'!C37="No",2,IF(+'TD Info Completed by Auditor'!C37="N/A",3,0)))</f>
        <v>0</v>
      </c>
      <c r="F231" s="767"/>
      <c r="G231" s="768"/>
      <c r="H231" s="769"/>
      <c r="I231" s="32"/>
      <c r="J231" s="770">
        <v>1070</v>
      </c>
      <c r="K231" s="302" t="s">
        <v>1948</v>
      </c>
      <c r="L231" s="983">
        <f t="shared" si="23"/>
        <v>0</v>
      </c>
      <c r="M231" s="180"/>
      <c r="N231" s="244" t="s">
        <v>644</v>
      </c>
      <c r="P231" s="201"/>
      <c r="Q231" s="316"/>
      <c r="X231" s="284"/>
      <c r="AB231" s="284"/>
    </row>
    <row r="232" spans="1:28" s="384" customFormat="1" ht="87.75" customHeight="1" x14ac:dyDescent="0.3">
      <c r="A232" s="302">
        <v>1071</v>
      </c>
      <c r="B232" s="302" t="s">
        <v>590</v>
      </c>
      <c r="C232" s="302" t="str">
        <f>'TD Info Completed by Auditor'!B38</f>
        <v>Please list the amount of ARPA funds expended in total this fiscal year for non-capital purposes.  Enter "0" if no ARPA funds expended for this fiscal year for non-capital purposes.</v>
      </c>
      <c r="D232" s="228"/>
      <c r="E232" s="772">
        <f>'TD Info Completed by Auditor'!C38</f>
        <v>0</v>
      </c>
      <c r="F232" s="767"/>
      <c r="G232" s="768"/>
      <c r="H232" s="769"/>
      <c r="I232" s="32"/>
      <c r="J232" s="770">
        <v>1071</v>
      </c>
      <c r="K232" s="302" t="s">
        <v>1924</v>
      </c>
      <c r="L232" s="982">
        <f t="shared" si="23"/>
        <v>0</v>
      </c>
      <c r="M232" s="180"/>
      <c r="N232" s="244" t="s">
        <v>644</v>
      </c>
      <c r="P232" s="201"/>
      <c r="Q232" s="316"/>
      <c r="X232" s="284"/>
      <c r="AB232" s="284"/>
    </row>
    <row r="233" spans="1:28" ht="121.2" customHeight="1" x14ac:dyDescent="0.3">
      <c r="A233" s="325">
        <v>336</v>
      </c>
      <c r="B233" s="235"/>
      <c r="C233" s="326" t="s">
        <v>654</v>
      </c>
      <c r="D233" s="327" t="s">
        <v>622</v>
      </c>
      <c r="E233" s="328" t="s">
        <v>623</v>
      </c>
      <c r="F233" s="236" t="s">
        <v>1058</v>
      </c>
      <c r="G233" s="224"/>
      <c r="H233" s="221"/>
      <c r="I233" s="32"/>
      <c r="J233" s="237">
        <v>336</v>
      </c>
      <c r="K233" s="329" t="s">
        <v>626</v>
      </c>
      <c r="L233" s="330">
        <f>L10-L11-L12-L13-L14-L15-L16</f>
        <v>0</v>
      </c>
      <c r="N233" s="245" t="s">
        <v>624</v>
      </c>
      <c r="P233" s="201"/>
      <c r="Q233" s="316"/>
      <c r="X233" s="284" t="e">
        <v>#N/A</v>
      </c>
      <c r="Y233" s="384"/>
      <c r="AA233" s="384">
        <f t="shared" si="20"/>
        <v>0</v>
      </c>
      <c r="AB233" s="284" t="e">
        <f t="shared" si="21"/>
        <v>#VALUE!</v>
      </c>
    </row>
    <row r="234" spans="1:28" ht="129" customHeight="1" x14ac:dyDescent="0.3">
      <c r="A234" s="325">
        <v>44</v>
      </c>
      <c r="B234" s="235"/>
      <c r="C234" s="236" t="s">
        <v>655</v>
      </c>
      <c r="D234" s="327" t="s">
        <v>614</v>
      </c>
      <c r="E234" s="331" t="s">
        <v>615</v>
      </c>
      <c r="F234" s="236" t="s">
        <v>1059</v>
      </c>
      <c r="G234" s="224"/>
      <c r="H234" s="221"/>
      <c r="I234" s="32"/>
      <c r="J234" s="237">
        <v>44</v>
      </c>
      <c r="K234" s="329" t="s">
        <v>627</v>
      </c>
      <c r="L234" s="330">
        <f>L76-L77-L74</f>
        <v>0</v>
      </c>
      <c r="N234" s="245" t="s">
        <v>625</v>
      </c>
      <c r="P234" s="201"/>
      <c r="Q234" s="316"/>
      <c r="X234" s="284" t="e">
        <v>#N/A</v>
      </c>
      <c r="Y234" s="384"/>
      <c r="AA234" s="384">
        <f t="shared" si="20"/>
        <v>0</v>
      </c>
      <c r="AB234" s="284" t="e">
        <f t="shared" si="21"/>
        <v>#VALUE!</v>
      </c>
    </row>
    <row r="235" spans="1:28" ht="169.5" customHeight="1" x14ac:dyDescent="0.3">
      <c r="A235" s="325">
        <v>45</v>
      </c>
      <c r="B235" s="235"/>
      <c r="C235" s="236" t="s">
        <v>656</v>
      </c>
      <c r="D235" s="327" t="s">
        <v>616</v>
      </c>
      <c r="E235" s="328" t="s">
        <v>617</v>
      </c>
      <c r="F235" s="236" t="s">
        <v>1058</v>
      </c>
      <c r="G235" s="224"/>
      <c r="H235" s="221"/>
      <c r="I235" s="32"/>
      <c r="J235" s="237">
        <v>45</v>
      </c>
      <c r="K235" s="329" t="s">
        <v>628</v>
      </c>
      <c r="L235" s="330">
        <f>L80-L81-L82-L83-L84-L85-L79</f>
        <v>0</v>
      </c>
      <c r="N235" s="245" t="s">
        <v>636</v>
      </c>
      <c r="P235" s="201"/>
      <c r="Q235" s="316"/>
      <c r="X235" s="284" t="e">
        <v>#N/A</v>
      </c>
      <c r="Y235" s="384"/>
      <c r="AA235" s="384">
        <f t="shared" si="20"/>
        <v>0</v>
      </c>
      <c r="AB235" s="284" t="e">
        <f t="shared" si="21"/>
        <v>#VALUE!</v>
      </c>
    </row>
    <row r="236" spans="1:28" ht="87.75" customHeight="1" x14ac:dyDescent="0.3">
      <c r="A236" s="325">
        <v>47</v>
      </c>
      <c r="B236" s="235"/>
      <c r="C236" s="236" t="s">
        <v>630</v>
      </c>
      <c r="D236" s="327" t="s">
        <v>618</v>
      </c>
      <c r="E236" s="328" t="s">
        <v>620</v>
      </c>
      <c r="F236" s="236" t="s">
        <v>1058</v>
      </c>
      <c r="G236" s="224"/>
      <c r="H236" s="221"/>
      <c r="I236" s="32"/>
      <c r="J236" s="237">
        <v>47</v>
      </c>
      <c r="K236" s="329" t="s">
        <v>629</v>
      </c>
      <c r="L236" s="330">
        <f>L94-L95-L92</f>
        <v>0</v>
      </c>
      <c r="N236" s="245" t="s">
        <v>637</v>
      </c>
      <c r="P236" s="201"/>
      <c r="Q236" s="316"/>
      <c r="X236" s="284" t="e">
        <v>#N/A</v>
      </c>
      <c r="Y236" s="384"/>
      <c r="AA236" s="384">
        <f t="shared" si="20"/>
        <v>0</v>
      </c>
      <c r="AB236" s="284" t="e">
        <f t="shared" si="21"/>
        <v>#VALUE!</v>
      </c>
    </row>
    <row r="237" spans="1:28" ht="152.25" customHeight="1" x14ac:dyDescent="0.3">
      <c r="A237" s="325">
        <v>48</v>
      </c>
      <c r="B237" s="235"/>
      <c r="C237" s="236" t="s">
        <v>631</v>
      </c>
      <c r="D237" s="327" t="s">
        <v>619</v>
      </c>
      <c r="E237" s="328" t="s">
        <v>621</v>
      </c>
      <c r="F237" s="236" t="s">
        <v>1058</v>
      </c>
      <c r="G237" s="224"/>
      <c r="H237" s="221"/>
      <c r="I237" s="32"/>
      <c r="J237" s="237">
        <v>48</v>
      </c>
      <c r="K237" s="329" t="s">
        <v>115</v>
      </c>
      <c r="L237" s="330">
        <f>L99-L100-L101-L102-L103-L104-L98</f>
        <v>0</v>
      </c>
      <c r="N237" s="245" t="s">
        <v>638</v>
      </c>
      <c r="P237" s="201"/>
      <c r="Q237" s="316"/>
      <c r="X237" s="284" t="e">
        <v>#N/A</v>
      </c>
      <c r="Y237" s="384"/>
      <c r="AA237" s="384">
        <f t="shared" si="20"/>
        <v>0</v>
      </c>
      <c r="AB237" s="284" t="e">
        <f t="shared" si="21"/>
        <v>#VALUE!</v>
      </c>
    </row>
    <row r="238" spans="1:28" ht="113.4" customHeight="1" x14ac:dyDescent="0.3">
      <c r="A238" s="332"/>
      <c r="B238" s="90"/>
      <c r="C238" s="333"/>
      <c r="D238" s="129"/>
      <c r="E238" s="137"/>
      <c r="F238" s="59"/>
      <c r="G238" s="131"/>
      <c r="H238" s="132"/>
      <c r="I238" s="32"/>
      <c r="J238" s="238">
        <v>998</v>
      </c>
      <c r="K238" s="239" t="s">
        <v>277</v>
      </c>
      <c r="L238" s="334" t="e">
        <f>VLOOKUP('Unit Data from Audit Worksheet'!D2,'Unit Names(H)'!$A$2:$C$95,3,FALSE)</f>
        <v>#N/A</v>
      </c>
      <c r="N238" s="245" t="s">
        <v>632</v>
      </c>
      <c r="P238" s="201"/>
      <c r="Q238" s="316"/>
      <c r="X238" s="284" t="e">
        <v>#N/A</v>
      </c>
      <c r="Y238" s="384"/>
      <c r="AA238" s="384">
        <f t="shared" si="20"/>
        <v>-998</v>
      </c>
      <c r="AB238" s="284" t="e">
        <f t="shared" si="21"/>
        <v>#N/A</v>
      </c>
    </row>
    <row r="239" spans="1:28" ht="119.4" customHeight="1" x14ac:dyDescent="0.3">
      <c r="A239" s="332"/>
      <c r="B239" s="90"/>
      <c r="C239" s="333"/>
      <c r="D239" s="335"/>
      <c r="E239" s="336"/>
      <c r="F239" s="337"/>
      <c r="G239" s="338"/>
      <c r="H239" s="339"/>
      <c r="I239" s="32"/>
      <c r="J239" s="240">
        <v>995</v>
      </c>
      <c r="K239" s="241" t="s">
        <v>275</v>
      </c>
      <c r="L239" s="723" t="e">
        <f>INDEX('PY1 Data(H)'!$A$1:$CZ$279,MATCH('PY1 Data(H)'!$A230,'PY1 Data(H)'!$A$1:$A$279,0),MATCH('Unit Data from Audit Worksheet'!$D$2,'PY1 Data(H)'!$A$1:$CZ$1,0))</f>
        <v>#N/A</v>
      </c>
      <c r="N239" s="245" t="s">
        <v>639</v>
      </c>
      <c r="P239" s="201"/>
      <c r="Q239" s="316"/>
      <c r="X239" s="284" t="e">
        <v>#N/A</v>
      </c>
      <c r="Y239" s="384"/>
      <c r="AA239" s="384">
        <f t="shared" si="20"/>
        <v>-995</v>
      </c>
      <c r="AB239" s="571" t="e">
        <f t="shared" si="21"/>
        <v>#N/A</v>
      </c>
    </row>
    <row r="240" spans="1:28" ht="104.4" customHeight="1" x14ac:dyDescent="0.3">
      <c r="A240" s="332"/>
      <c r="B240" s="90"/>
      <c r="C240" s="333"/>
      <c r="D240" s="335"/>
      <c r="E240" s="336"/>
      <c r="F240" s="337"/>
      <c r="G240" s="338"/>
      <c r="H240" s="339"/>
      <c r="I240" s="32"/>
      <c r="J240" s="240">
        <v>996</v>
      </c>
      <c r="K240" s="241" t="s">
        <v>276</v>
      </c>
      <c r="L240" s="723" t="e">
        <f>INDEX('PY1 Data(H)'!$A$1:$CZ$279,MATCH('PY1 Data(H)'!$A231,'PY1 Data(H)'!$A$1:$A$279,0),MATCH('Unit Data from Audit Worksheet'!$D$2,'PY1 Data(H)'!$A$1:$CZ$1,0))</f>
        <v>#N/A</v>
      </c>
      <c r="N240" s="245" t="s">
        <v>640</v>
      </c>
      <c r="P240" s="201"/>
      <c r="Q240" s="316"/>
      <c r="X240" s="284" t="e">
        <v>#N/A</v>
      </c>
      <c r="Y240" s="384"/>
      <c r="AA240" s="384">
        <f t="shared" si="20"/>
        <v>-996</v>
      </c>
      <c r="AB240" s="571" t="e">
        <f t="shared" si="21"/>
        <v>#N/A</v>
      </c>
    </row>
    <row r="241" spans="1:28" ht="43.2" x14ac:dyDescent="0.3">
      <c r="A241" s="332"/>
      <c r="B241" s="90"/>
      <c r="C241" s="333"/>
      <c r="D241" s="335"/>
      <c r="E241" s="336"/>
      <c r="F241" s="337"/>
      <c r="G241" s="338"/>
      <c r="H241" s="340"/>
      <c r="I241" s="32"/>
      <c r="J241" s="158">
        <v>554</v>
      </c>
      <c r="K241" s="341" t="s">
        <v>318</v>
      </c>
      <c r="L241" s="311"/>
      <c r="N241" s="342"/>
      <c r="P241" s="201"/>
      <c r="Q241" s="316"/>
      <c r="X241" s="284" t="e">
        <v>#N/A</v>
      </c>
      <c r="Y241" s="384"/>
      <c r="AA241" s="384">
        <f t="shared" si="20"/>
        <v>-554</v>
      </c>
      <c r="AB241" s="284">
        <f t="shared" si="21"/>
        <v>0</v>
      </c>
    </row>
    <row r="242" spans="1:28" ht="43.2" x14ac:dyDescent="0.3">
      <c r="A242" s="332"/>
      <c r="B242" s="90"/>
      <c r="C242" s="333"/>
      <c r="D242" s="335"/>
      <c r="E242" s="336"/>
      <c r="F242" s="337"/>
      <c r="G242" s="338"/>
      <c r="H242" s="340"/>
      <c r="I242" s="32"/>
      <c r="J242" s="158">
        <v>555</v>
      </c>
      <c r="K242" s="341" t="s">
        <v>319</v>
      </c>
      <c r="L242" s="311"/>
      <c r="N242" s="342"/>
      <c r="P242" s="201"/>
      <c r="Q242" s="316"/>
      <c r="X242" s="284" t="e">
        <v>#N/A</v>
      </c>
      <c r="Y242" s="384"/>
      <c r="AA242" s="384">
        <f t="shared" si="20"/>
        <v>-555</v>
      </c>
      <c r="AB242" s="284">
        <f t="shared" si="21"/>
        <v>0</v>
      </c>
    </row>
    <row r="243" spans="1:28" ht="43.2" x14ac:dyDescent="0.3">
      <c r="A243" s="332"/>
      <c r="B243" s="90"/>
      <c r="C243" s="333"/>
      <c r="D243" s="335"/>
      <c r="E243" s="336"/>
      <c r="F243" s="337"/>
      <c r="G243" s="338"/>
      <c r="H243" s="340"/>
      <c r="I243" s="32"/>
      <c r="J243" s="158">
        <v>556</v>
      </c>
      <c r="K243" s="341" t="s">
        <v>320</v>
      </c>
      <c r="L243" s="311"/>
      <c r="N243" s="342"/>
      <c r="P243" s="201"/>
      <c r="Q243" s="316"/>
      <c r="X243" s="284" t="e">
        <v>#N/A</v>
      </c>
      <c r="Y243" s="384"/>
      <c r="AA243" s="384">
        <f t="shared" si="20"/>
        <v>-556</v>
      </c>
      <c r="AB243" s="284">
        <f t="shared" si="21"/>
        <v>0</v>
      </c>
    </row>
    <row r="244" spans="1:28" ht="43.2" x14ac:dyDescent="0.3">
      <c r="A244" s="332"/>
      <c r="B244" s="90"/>
      <c r="C244" s="333"/>
      <c r="D244" s="335"/>
      <c r="E244" s="336"/>
      <c r="F244" s="337"/>
      <c r="G244" s="338"/>
      <c r="H244" s="340"/>
      <c r="I244" s="32"/>
      <c r="J244" s="158">
        <v>557</v>
      </c>
      <c r="K244" s="341" t="s">
        <v>321</v>
      </c>
      <c r="L244" s="311"/>
      <c r="N244" s="342"/>
      <c r="P244" s="202"/>
      <c r="X244" s="284" t="e">
        <v>#N/A</v>
      </c>
      <c r="Y244" s="384"/>
      <c r="AA244" s="384">
        <f t="shared" si="20"/>
        <v>-557</v>
      </c>
      <c r="AB244" s="284">
        <f t="shared" si="21"/>
        <v>0</v>
      </c>
    </row>
    <row r="245" spans="1:28" ht="43.2" x14ac:dyDescent="0.3">
      <c r="A245" s="332"/>
      <c r="B245" s="90"/>
      <c r="C245" s="333"/>
      <c r="D245" s="335"/>
      <c r="E245" s="336"/>
      <c r="F245" s="337"/>
      <c r="G245" s="338"/>
      <c r="H245" s="340"/>
      <c r="I245" s="32"/>
      <c r="J245" s="158">
        <v>606</v>
      </c>
      <c r="K245" s="341" t="s">
        <v>447</v>
      </c>
      <c r="L245" s="311"/>
      <c r="N245" s="342"/>
      <c r="P245" s="202"/>
      <c r="X245" s="284" t="e">
        <v>#N/A</v>
      </c>
      <c r="Y245" s="384"/>
      <c r="AA245" s="384">
        <f t="shared" si="20"/>
        <v>-606</v>
      </c>
      <c r="AB245" s="284">
        <f t="shared" si="21"/>
        <v>0</v>
      </c>
    </row>
    <row r="246" spans="1:28" s="18" customFormat="1" ht="22.5" customHeight="1" x14ac:dyDescent="0.3">
      <c r="A246" s="332"/>
      <c r="B246" s="90"/>
      <c r="C246" s="333"/>
      <c r="D246" s="129"/>
      <c r="E246" s="130"/>
      <c r="F246" s="59"/>
      <c r="G246" s="131"/>
      <c r="H246" s="132"/>
      <c r="I246" s="32"/>
      <c r="J246" s="133"/>
      <c r="K246" s="344"/>
      <c r="L246" s="345"/>
      <c r="M246"/>
      <c r="N246" s="244"/>
      <c r="P246" s="202"/>
      <c r="Q246" s="277"/>
      <c r="R246" s="3"/>
      <c r="S246" s="3"/>
      <c r="T246" s="3"/>
      <c r="U246" s="3"/>
      <c r="V246" s="3"/>
      <c r="W246" s="3"/>
      <c r="X246" s="284" t="e">
        <v>#N/A</v>
      </c>
      <c r="Y246" s="384"/>
      <c r="Z246" s="3"/>
      <c r="AA246" s="384">
        <f t="shared" si="20"/>
        <v>0</v>
      </c>
      <c r="AB246" s="284">
        <f t="shared" si="21"/>
        <v>0</v>
      </c>
    </row>
    <row r="247" spans="1:28" ht="99" customHeight="1" x14ac:dyDescent="0.3">
      <c r="A247" s="210">
        <f>'Unit Data from Audit Worksheet'!A269</f>
        <v>947</v>
      </c>
      <c r="B247" s="124"/>
      <c r="C247" s="209" t="str">
        <f>'Unit Data from Audit Worksheet'!D269</f>
        <v>First name of finance officer or interim finance officer (please enter “vacant” for first name if the position is currently vacant)</v>
      </c>
      <c r="D247" s="231"/>
      <c r="E247" s="172">
        <f>'Unit Data from Audit Worksheet'!F269</f>
        <v>0</v>
      </c>
      <c r="F247" s="222" t="str">
        <f>'Unit Data from Audit Worksheet'!G269</f>
        <v>Please do not leave blank</v>
      </c>
      <c r="G247" s="224"/>
      <c r="H247" s="221"/>
      <c r="I247" s="32"/>
      <c r="J247" s="161">
        <v>947</v>
      </c>
      <c r="K247" s="346" t="s">
        <v>406</v>
      </c>
      <c r="L247" s="347">
        <f t="shared" ref="L247:L258" si="24">IF(D247="",E247,D247)</f>
        <v>0</v>
      </c>
      <c r="N247" s="342"/>
      <c r="P247" s="202"/>
      <c r="Q247" s="78"/>
      <c r="X247" s="284">
        <v>947</v>
      </c>
      <c r="Y247" s="3">
        <v>947</v>
      </c>
      <c r="AA247" s="384">
        <f t="shared" si="20"/>
        <v>0</v>
      </c>
      <c r="AB247" s="284" t="b">
        <f>EXACT(E247,L247)</f>
        <v>1</v>
      </c>
    </row>
    <row r="248" spans="1:28" ht="128.25" customHeight="1" x14ac:dyDescent="0.3">
      <c r="A248" s="210">
        <f>'Unit Data from Audit Worksheet'!A270</f>
        <v>948</v>
      </c>
      <c r="B248" s="124"/>
      <c r="C248" s="209" t="str">
        <f>'Unit Data from Audit Worksheet'!D270</f>
        <v>Last name of finance officer or interim finance officer (please enter “vacant” for last name if the position is currently vacant)</v>
      </c>
      <c r="D248" s="231"/>
      <c r="E248" s="348">
        <f>'Unit Data from Audit Worksheet'!F270</f>
        <v>0</v>
      </c>
      <c r="F248" s="222" t="str">
        <f>'Unit Data from Audit Worksheet'!G270</f>
        <v>Please do not leave blank</v>
      </c>
      <c r="G248" s="224"/>
      <c r="H248" s="221"/>
      <c r="I248" s="32"/>
      <c r="J248" s="161">
        <v>948</v>
      </c>
      <c r="K248" s="346" t="s">
        <v>407</v>
      </c>
      <c r="L248" s="347">
        <f t="shared" si="24"/>
        <v>0</v>
      </c>
      <c r="N248" s="342"/>
      <c r="P248" s="202"/>
      <c r="X248" s="284">
        <v>948</v>
      </c>
      <c r="Y248" s="3">
        <v>948</v>
      </c>
      <c r="AA248" s="384">
        <f t="shared" si="20"/>
        <v>0</v>
      </c>
      <c r="AB248" s="284" t="b">
        <f t="shared" ref="AB248:AB260" si="25">EXACT(E248,L248)</f>
        <v>1</v>
      </c>
    </row>
    <row r="249" spans="1:28" ht="61.5" customHeight="1" x14ac:dyDescent="0.3">
      <c r="A249" s="210">
        <f>'Unit Data from Audit Worksheet'!A271</f>
        <v>949</v>
      </c>
      <c r="B249" s="124"/>
      <c r="C249" s="209" t="str">
        <f>'Unit Data from Audit Worksheet'!D271</f>
        <v>Is the finance officer serving in a permanent role or an interim role? (select permanent/interim/vacant)</v>
      </c>
      <c r="D249" s="231"/>
      <c r="E249" s="172">
        <f>'Unit Data from Audit Worksheet'!F271</f>
        <v>0</v>
      </c>
      <c r="F249" s="222" t="str">
        <f>'Unit Data from Audit Worksheet'!G271</f>
        <v>Please do not leave blank</v>
      </c>
      <c r="G249" s="224"/>
      <c r="H249" s="221"/>
      <c r="I249" s="32"/>
      <c r="J249" s="161">
        <v>949</v>
      </c>
      <c r="K249" s="346" t="s">
        <v>430</v>
      </c>
      <c r="L249" s="347">
        <f t="shared" si="24"/>
        <v>0</v>
      </c>
      <c r="N249" s="342"/>
      <c r="P249" s="202"/>
      <c r="X249" s="284">
        <v>949</v>
      </c>
      <c r="Y249" s="3">
        <v>949</v>
      </c>
      <c r="AA249" s="384">
        <f t="shared" si="20"/>
        <v>0</v>
      </c>
      <c r="AB249" s="284" t="b">
        <f t="shared" si="25"/>
        <v>1</v>
      </c>
    </row>
    <row r="250" spans="1:28" ht="93.75" customHeight="1" x14ac:dyDescent="0.3">
      <c r="A250" s="210">
        <f>'Unit Data from Audit Worksheet'!A272</f>
        <v>950</v>
      </c>
      <c r="B250" s="124"/>
      <c r="C250" s="209" t="str">
        <f>'Unit Data from Audit Worksheet'!D272</f>
        <v>Has the finance officer or interim finance officer been formally appointed by the local government, public authority, or designated official?  (Y/N)</v>
      </c>
      <c r="D250" s="231"/>
      <c r="E250" s="172">
        <f>'Unit Data from Audit Worksheet'!F272</f>
        <v>0</v>
      </c>
      <c r="F250" s="222" t="str">
        <f>'Unit Data from Audit Worksheet'!G272</f>
        <v>Please do not leave blank</v>
      </c>
      <c r="G250" s="224"/>
      <c r="H250" s="221"/>
      <c r="I250" s="32"/>
      <c r="J250" s="161">
        <v>950</v>
      </c>
      <c r="K250" s="346" t="s">
        <v>431</v>
      </c>
      <c r="L250" s="347">
        <f t="shared" si="24"/>
        <v>0</v>
      </c>
      <c r="N250" s="342"/>
      <c r="P250" s="202"/>
      <c r="X250" s="284">
        <v>950</v>
      </c>
      <c r="Y250" s="3">
        <v>950</v>
      </c>
      <c r="AA250" s="384">
        <f t="shared" si="20"/>
        <v>0</v>
      </c>
      <c r="AB250" s="284" t="b">
        <f t="shared" si="25"/>
        <v>1</v>
      </c>
    </row>
    <row r="251" spans="1:28" ht="153.75" customHeight="1" x14ac:dyDescent="0.3">
      <c r="A251" s="210">
        <f>'Unit Data from Audit Worksheet'!A273</f>
        <v>952</v>
      </c>
      <c r="B251" s="124"/>
      <c r="C251" s="209" t="str">
        <f>'Unit Data from Audit Worksheet'!D273</f>
        <v>Date on which the local government, public authority, or designated official appointed the finance officer?      Date Format  MM/DD/YYYY</v>
      </c>
      <c r="D251" s="231"/>
      <c r="E251" s="646" t="str">
        <f>IF('Unit Data from Audit Worksheet'!F273&gt;0,'Unit Data from Audit Worksheet'!F273," ")</f>
        <v xml:space="preserve"> </v>
      </c>
      <c r="F251" s="222" t="str">
        <f>'Unit Data from Audit Worksheet'!G273</f>
        <v>Leave blank if data not available</v>
      </c>
      <c r="G251" s="224"/>
      <c r="H251" s="221"/>
      <c r="I251" s="32"/>
      <c r="J251" s="161">
        <v>952</v>
      </c>
      <c r="K251" s="346" t="s">
        <v>432</v>
      </c>
      <c r="L251" s="349" t="str">
        <f t="shared" si="24"/>
        <v xml:space="preserve"> </v>
      </c>
      <c r="N251" s="342"/>
      <c r="P251" s="202"/>
      <c r="X251" s="284">
        <v>952</v>
      </c>
      <c r="Y251" s="3">
        <v>952</v>
      </c>
      <c r="AA251" s="384">
        <f t="shared" si="20"/>
        <v>0</v>
      </c>
      <c r="AB251" s="284" t="b">
        <f t="shared" si="25"/>
        <v>1</v>
      </c>
    </row>
    <row r="252" spans="1:28" ht="30.75" customHeight="1" x14ac:dyDescent="0.3">
      <c r="A252" s="350">
        <f>'Unit Data from Audit Worksheet'!A281</f>
        <v>960</v>
      </c>
      <c r="B252" s="168"/>
      <c r="C252" s="169" t="str">
        <f>'Unit Data from Audit Worksheet'!B281</f>
        <v>Name of Finance Officer</v>
      </c>
      <c r="D252" s="231"/>
      <c r="E252" s="351">
        <f>'Unit Data from Audit Worksheet'!D281</f>
        <v>0</v>
      </c>
      <c r="F252" s="352" t="str">
        <f>'Unit Data from Audit Worksheet'!F281</f>
        <v>Required</v>
      </c>
      <c r="G252" s="224"/>
      <c r="H252" s="221"/>
      <c r="I252" s="32"/>
      <c r="J252" s="171">
        <v>960</v>
      </c>
      <c r="K252" s="353" t="s">
        <v>426</v>
      </c>
      <c r="L252" s="354">
        <f t="shared" si="24"/>
        <v>0</v>
      </c>
      <c r="N252" s="309"/>
      <c r="P252" s="202"/>
      <c r="X252" s="284">
        <v>960</v>
      </c>
      <c r="Y252" s="3">
        <v>960</v>
      </c>
      <c r="AA252" s="384">
        <f t="shared" si="20"/>
        <v>0</v>
      </c>
      <c r="AB252" s="284" t="b">
        <f t="shared" si="25"/>
        <v>1</v>
      </c>
    </row>
    <row r="253" spans="1:28" ht="30.75" customHeight="1" x14ac:dyDescent="0.3">
      <c r="A253" s="350">
        <f>'Unit Data from Audit Worksheet'!A282</f>
        <v>962</v>
      </c>
      <c r="B253" s="168"/>
      <c r="C253" s="169" t="str">
        <f>'Unit Data from Audit Worksheet'!B282</f>
        <v>Title of Official</v>
      </c>
      <c r="D253" s="231"/>
      <c r="E253" s="351">
        <f>'Unit Data from Audit Worksheet'!D282</f>
        <v>0</v>
      </c>
      <c r="F253" s="352" t="str">
        <f>'Unit Data from Audit Worksheet'!F282</f>
        <v>Required</v>
      </c>
      <c r="G253" s="224"/>
      <c r="H253" s="221"/>
      <c r="I253" s="32"/>
      <c r="J253" s="171">
        <v>962</v>
      </c>
      <c r="K253" s="353" t="s">
        <v>402</v>
      </c>
      <c r="L253" s="354">
        <f t="shared" si="24"/>
        <v>0</v>
      </c>
      <c r="N253" s="309"/>
      <c r="P253" s="202"/>
      <c r="X253" s="284">
        <v>962</v>
      </c>
      <c r="Y253" s="3">
        <v>962</v>
      </c>
      <c r="AA253" s="384">
        <f t="shared" si="20"/>
        <v>0</v>
      </c>
      <c r="AB253" s="284" t="b">
        <f t="shared" si="25"/>
        <v>1</v>
      </c>
    </row>
    <row r="254" spans="1:28" ht="30.75" customHeight="1" x14ac:dyDescent="0.3">
      <c r="A254" s="350">
        <f>'Unit Data from Audit Worksheet'!A283</f>
        <v>964</v>
      </c>
      <c r="B254" s="168"/>
      <c r="C254" s="170" t="str">
        <f>'Unit Data from Audit Worksheet'!B283</f>
        <v>Date                        (Enter as "MM/DD/YYYY")</v>
      </c>
      <c r="D254" s="231"/>
      <c r="E254" s="355">
        <f>'Unit Data from Audit Worksheet'!D283</f>
        <v>0</v>
      </c>
      <c r="F254" s="352" t="str">
        <f>'Unit Data from Audit Worksheet'!F283</f>
        <v>Required</v>
      </c>
      <c r="G254" s="573"/>
      <c r="H254" s="221"/>
      <c r="I254" s="32"/>
      <c r="J254" s="171">
        <v>964</v>
      </c>
      <c r="K254" s="353" t="s">
        <v>457</v>
      </c>
      <c r="L254" s="356">
        <f t="shared" si="24"/>
        <v>0</v>
      </c>
      <c r="N254" s="309"/>
      <c r="P254" s="202"/>
      <c r="X254" s="284">
        <v>964</v>
      </c>
      <c r="Y254" s="3">
        <v>964</v>
      </c>
      <c r="AA254" s="384">
        <f t="shared" si="20"/>
        <v>0</v>
      </c>
      <c r="AB254" s="284" t="b">
        <f t="shared" si="25"/>
        <v>1</v>
      </c>
    </row>
    <row r="255" spans="1:28" ht="30.75" customHeight="1" x14ac:dyDescent="0.3">
      <c r="A255" s="350">
        <f>'Unit Data from Audit Worksheet'!A284</f>
        <v>966</v>
      </c>
      <c r="B255" s="168"/>
      <c r="C255" s="169" t="s">
        <v>1060</v>
      </c>
      <c r="D255" s="231"/>
      <c r="E255" s="572" t="str">
        <f>_xlfn.TEXTJOIN(",",,TEXT('Unit Data from Audit Worksheet'!D284,"###-###-####")," "&amp;'Unit Data from Audit Worksheet'!D285)</f>
        <v xml:space="preserve">--, </v>
      </c>
      <c r="F255" s="352" t="str">
        <f>'Unit Data from Audit Worksheet'!F284</f>
        <v>Required</v>
      </c>
      <c r="G255" s="224"/>
      <c r="H255" s="221"/>
      <c r="I255" s="32"/>
      <c r="J255" s="171">
        <v>966</v>
      </c>
      <c r="K255" s="353" t="s">
        <v>404</v>
      </c>
      <c r="L255" s="354" t="str">
        <f t="shared" si="24"/>
        <v xml:space="preserve">--, </v>
      </c>
      <c r="N255" s="309"/>
      <c r="P255" s="202"/>
      <c r="X255" s="284">
        <v>966</v>
      </c>
      <c r="Y255" s="3">
        <v>966</v>
      </c>
      <c r="AA255" s="384">
        <f t="shared" si="20"/>
        <v>0</v>
      </c>
      <c r="AB255" s="284" t="b">
        <f t="shared" si="25"/>
        <v>1</v>
      </c>
    </row>
    <row r="256" spans="1:28" ht="30.75" customHeight="1" x14ac:dyDescent="0.3">
      <c r="A256" s="350">
        <f>'Unit Data from Audit Worksheet'!A286</f>
        <v>968</v>
      </c>
      <c r="B256" s="168"/>
      <c r="C256" s="169" t="str">
        <f>'Unit Data from Audit Worksheet'!B286</f>
        <v>E-mail address</v>
      </c>
      <c r="D256" s="231"/>
      <c r="E256" s="351">
        <f>'Unit Data from Audit Worksheet'!D286</f>
        <v>0</v>
      </c>
      <c r="F256" s="352" t="str">
        <f>'Unit Data from Audit Worksheet'!F286</f>
        <v>Required</v>
      </c>
      <c r="G256" s="224"/>
      <c r="H256" s="221"/>
      <c r="I256" s="32"/>
      <c r="J256" s="171">
        <v>968</v>
      </c>
      <c r="K256" s="353" t="s">
        <v>405</v>
      </c>
      <c r="L256" s="354">
        <f t="shared" si="24"/>
        <v>0</v>
      </c>
      <c r="N256" s="309"/>
      <c r="P256" s="202"/>
      <c r="X256" s="284">
        <v>968</v>
      </c>
      <c r="Y256" s="3">
        <v>968</v>
      </c>
      <c r="AA256" s="384">
        <f t="shared" si="20"/>
        <v>0</v>
      </c>
      <c r="AB256" s="284" t="b">
        <f t="shared" si="25"/>
        <v>1</v>
      </c>
    </row>
    <row r="257" spans="1:28" ht="111" customHeight="1" x14ac:dyDescent="0.3">
      <c r="A257" s="357">
        <v>980</v>
      </c>
      <c r="B257" s="235" t="s">
        <v>590</v>
      </c>
      <c r="C257" s="246" t="str">
        <f>'TD Info Completed by Auditor'!B32</f>
        <v>Date the auditor presented or plans to present Financial Performance Indicators of Concern (FPIC) to the Governing Board.  If there are no FPICs to present to the governing board,  enter "7/1/2024" to indicate that an FPIC response is not required.</v>
      </c>
      <c r="D257" s="231"/>
      <c r="E257" s="626" t="str">
        <f>IF('TD Info Completed by Auditor'!C32&gt;0,'TD Info Completed by Auditor'!C32," ")</f>
        <v xml:space="preserve"> </v>
      </c>
      <c r="F257" s="358" t="s">
        <v>643</v>
      </c>
      <c r="G257" s="224"/>
      <c r="H257" s="221"/>
      <c r="I257" s="32"/>
      <c r="J257" s="247">
        <v>980</v>
      </c>
      <c r="K257" s="248" t="s">
        <v>583</v>
      </c>
      <c r="L257" s="359" t="str">
        <f t="shared" si="24"/>
        <v xml:space="preserve"> </v>
      </c>
      <c r="N257" s="387" t="s">
        <v>644</v>
      </c>
      <c r="P257" s="202"/>
      <c r="X257" s="284" t="e">
        <v>#N/A</v>
      </c>
      <c r="AA257" s="384">
        <f t="shared" si="20"/>
        <v>0</v>
      </c>
      <c r="AB257" s="284" t="b">
        <f t="shared" si="25"/>
        <v>1</v>
      </c>
    </row>
    <row r="258" spans="1:28" s="384" customFormat="1" ht="135.6" customHeight="1" x14ac:dyDescent="0.3">
      <c r="A258" s="210">
        <f>'Unit Data from Audit Worksheet'!A77</f>
        <v>590</v>
      </c>
      <c r="B258" s="210" t="str">
        <f>'Unit Data from Audit Worksheet'!B77</f>
        <v>Fiscal Review, UAL Determination, Financial Performance Indicator</v>
      </c>
      <c r="C258" s="74" t="str">
        <f>'Unit Data from Audit Worksheet'!D77</f>
        <v>If you appropriated General Fund Balance in your 2024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v>
      </c>
      <c r="D258" s="231"/>
      <c r="E258" s="654" t="str">
        <f>CONCATENATE('Unit Data from Audit Worksheet'!F77," - ",'Unit Data from Audit Worksheet'!G77)</f>
        <v xml:space="preserve"> - </v>
      </c>
      <c r="F258" s="650"/>
      <c r="G258" s="224"/>
      <c r="H258" s="221"/>
      <c r="I258" s="32"/>
      <c r="J258" s="247">
        <v>590</v>
      </c>
      <c r="K258" s="248" t="s">
        <v>1474</v>
      </c>
      <c r="L258" s="655" t="str">
        <f t="shared" si="24"/>
        <v xml:space="preserve"> - </v>
      </c>
      <c r="M258"/>
      <c r="N258" s="387"/>
      <c r="P258" s="202"/>
      <c r="Q258" s="277"/>
      <c r="X258" s="284"/>
      <c r="AB258" s="284"/>
    </row>
    <row r="259" spans="1:28" s="384" customFormat="1" ht="135.6" customHeight="1" x14ac:dyDescent="0.3">
      <c r="A259" s="302">
        <f>'TD Info Completed by Auditor'!A31</f>
        <v>1079</v>
      </c>
      <c r="B259" s="302"/>
      <c r="C259" s="989" t="str">
        <f>'TD Info Completed by Auditor'!B31</f>
        <v>What date was the audit report submitted to the LGC?  (Note audit reports are due four months after fiscal year end regardless of the contract submission date.)  Enter as "MM/DD/YYYY"</v>
      </c>
      <c r="D259" s="231"/>
      <c r="E259" s="992">
        <f>'TD Info Completed by Auditor'!C31</f>
        <v>0</v>
      </c>
      <c r="F259" s="650"/>
      <c r="G259" s="224"/>
      <c r="H259" s="221"/>
      <c r="I259" s="32"/>
      <c r="J259" s="247">
        <v>1079</v>
      </c>
      <c r="K259" s="248" t="s">
        <v>1938</v>
      </c>
      <c r="L259" s="990">
        <f>E259</f>
        <v>0</v>
      </c>
      <c r="M259" s="180"/>
      <c r="N259" s="387"/>
      <c r="P259" s="202"/>
      <c r="Q259" s="277"/>
      <c r="X259" s="284"/>
      <c r="AB259" s="284"/>
    </row>
    <row r="260" spans="1:28" ht="83.4" customHeight="1" x14ac:dyDescent="0.3">
      <c r="A260" s="332"/>
      <c r="B260" s="90"/>
      <c r="C260" s="333"/>
      <c r="D260" s="335"/>
      <c r="E260" s="336"/>
      <c r="F260" s="337"/>
      <c r="G260" s="338"/>
      <c r="H260" s="339"/>
      <c r="I260" s="32"/>
      <c r="J260" s="161">
        <v>999</v>
      </c>
      <c r="K260" s="346" t="s">
        <v>278</v>
      </c>
      <c r="L260" s="360" t="e">
        <f>'Unit Data from Audit Worksheet'!D3</f>
        <v>#N/A</v>
      </c>
      <c r="N260" s="361" t="s">
        <v>642</v>
      </c>
      <c r="O260" s="361" t="s">
        <v>641</v>
      </c>
      <c r="P260" s="202"/>
      <c r="X260" s="284" t="e">
        <v>#N/A</v>
      </c>
      <c r="AA260" s="384">
        <f t="shared" si="20"/>
        <v>-999</v>
      </c>
      <c r="AB260" s="284" t="e">
        <f t="shared" si="25"/>
        <v>#N/A</v>
      </c>
    </row>
    <row r="261" spans="1:28" x14ac:dyDescent="0.3">
      <c r="A261" s="186"/>
      <c r="B261" s="186"/>
      <c r="C261" s="186"/>
      <c r="D261" s="186"/>
      <c r="E261" s="186"/>
      <c r="F261" s="186"/>
      <c r="G261" s="186"/>
      <c r="H261" s="186"/>
      <c r="I261" s="186"/>
      <c r="J261" s="3"/>
      <c r="K261" s="3"/>
      <c r="L261" s="3"/>
      <c r="N261" s="4"/>
      <c r="P261" s="202"/>
      <c r="AA261" s="384"/>
    </row>
    <row r="262" spans="1:28" s="384" customFormat="1" x14ac:dyDescent="0.3">
      <c r="A262" s="186"/>
      <c r="B262" s="186"/>
      <c r="C262" s="186"/>
      <c r="D262" s="186"/>
      <c r="E262" s="186"/>
      <c r="F262" s="186"/>
      <c r="G262" s="186"/>
      <c r="H262" s="186"/>
      <c r="I262" s="186"/>
      <c r="M262"/>
      <c r="N262" s="4"/>
      <c r="P262" s="202"/>
      <c r="Q262" s="277"/>
    </row>
    <row r="263" spans="1:28" x14ac:dyDescent="0.3">
      <c r="C263" s="637"/>
      <c r="D263" s="363"/>
      <c r="E263" s="364"/>
      <c r="F263" s="364"/>
      <c r="G263" s="365"/>
      <c r="H263" s="364"/>
      <c r="I263" s="366"/>
      <c r="K263" s="716" t="s">
        <v>1475</v>
      </c>
      <c r="L263" s="718" t="e">
        <f>SUM(L4:L245)</f>
        <v>#N/A</v>
      </c>
      <c r="N263" s="4"/>
      <c r="P263" s="202"/>
      <c r="AA263" s="384"/>
    </row>
    <row r="264" spans="1:28" ht="19.2" customHeight="1" x14ac:dyDescent="0.3">
      <c r="A264"/>
      <c r="B264"/>
      <c r="C264"/>
      <c r="D264"/>
      <c r="E264"/>
      <c r="F264"/>
      <c r="G264" s="365"/>
      <c r="H264" s="364"/>
      <c r="I264" s="366"/>
      <c r="K264" s="717" t="s">
        <v>1459</v>
      </c>
      <c r="L264" s="718"/>
      <c r="N264" s="4"/>
      <c r="P264" s="202"/>
      <c r="AA264" s="384"/>
    </row>
    <row r="265" spans="1:28" ht="21.6" customHeight="1" x14ac:dyDescent="0.7">
      <c r="B265" s="3"/>
      <c r="C265" s="3"/>
      <c r="D265" s="73"/>
      <c r="E265" s="96"/>
      <c r="F265" s="73"/>
      <c r="G265" s="365"/>
      <c r="H265" s="364"/>
      <c r="I265" s="366"/>
      <c r="J265" s="148"/>
      <c r="K265" s="147"/>
      <c r="L265" s="718" t="e">
        <f>L263-L264</f>
        <v>#N/A</v>
      </c>
      <c r="N265" s="4"/>
      <c r="P265" s="202"/>
      <c r="Y265" s="384">
        <v>590</v>
      </c>
      <c r="AA265" s="384"/>
    </row>
    <row r="266" spans="1:28" ht="25.2" customHeight="1" x14ac:dyDescent="0.3">
      <c r="A266" s="186"/>
      <c r="B266" s="186"/>
      <c r="C266" s="186"/>
      <c r="D266" s="186"/>
      <c r="E266" s="186"/>
      <c r="F266" s="364"/>
      <c r="G266" s="365"/>
      <c r="H266" s="364"/>
      <c r="I266" s="366"/>
      <c r="K266" s="10"/>
      <c r="L266" s="367"/>
      <c r="P266" s="202"/>
      <c r="X266" s="284">
        <f>SUM(X5:X211)</f>
        <v>83710</v>
      </c>
      <c r="Y266" s="3">
        <v>96734</v>
      </c>
      <c r="AA266" s="384"/>
    </row>
    <row r="267" spans="1:28" x14ac:dyDescent="0.3">
      <c r="A267" s="186"/>
      <c r="B267" s="186"/>
      <c r="C267" s="186"/>
      <c r="D267" s="186"/>
      <c r="E267" s="186"/>
      <c r="F267" s="364"/>
      <c r="G267" s="365"/>
      <c r="H267" s="364"/>
      <c r="I267" s="366"/>
      <c r="K267" s="10"/>
      <c r="P267" s="202"/>
      <c r="X267" s="284">
        <f>SUM(X247:X256)</f>
        <v>9566</v>
      </c>
      <c r="AA267" s="384"/>
    </row>
    <row r="268" spans="1:28" ht="18.75" customHeight="1" x14ac:dyDescent="0.3">
      <c r="A268" s="186"/>
      <c r="B268" s="186"/>
      <c r="C268" s="186"/>
      <c r="D268" s="186"/>
      <c r="E268" s="186"/>
      <c r="F268" s="364"/>
      <c r="G268" s="365"/>
      <c r="H268" s="364"/>
      <c r="I268" s="366"/>
      <c r="K268" s="10"/>
      <c r="L268"/>
      <c r="P268" s="202"/>
      <c r="Y268" s="3" t="s">
        <v>874</v>
      </c>
      <c r="AA268" s="384"/>
    </row>
    <row r="269" spans="1:28" ht="30.75" customHeight="1" x14ac:dyDescent="0.3">
      <c r="A269" s="186"/>
      <c r="B269" s="186"/>
      <c r="C269" s="186"/>
      <c r="D269" s="186"/>
      <c r="E269" s="186"/>
      <c r="F269" s="364"/>
      <c r="G269" s="365"/>
      <c r="H269" s="364"/>
      <c r="I269" s="366"/>
      <c r="K269" s="10"/>
      <c r="L269" s="367"/>
      <c r="P269" s="202"/>
      <c r="X269" s="284">
        <f>SUM(X266:X268)</f>
        <v>93276</v>
      </c>
      <c r="Y269" s="3">
        <f>Y266</f>
        <v>96734</v>
      </c>
      <c r="Z269" s="284">
        <f>X269-Y269</f>
        <v>-3458</v>
      </c>
      <c r="AA269" s="384"/>
    </row>
    <row r="270" spans="1:28" ht="30.75" customHeight="1" x14ac:dyDescent="0.3">
      <c r="A270" s="186"/>
      <c r="B270" s="186"/>
      <c r="C270" s="186"/>
      <c r="D270" s="186"/>
      <c r="E270" s="186"/>
      <c r="F270" s="364"/>
      <c r="G270" s="365"/>
      <c r="H270" s="364"/>
      <c r="I270" s="366"/>
      <c r="K270" s="10"/>
      <c r="L270" s="367"/>
      <c r="P270" s="202"/>
      <c r="AA270" s="384"/>
    </row>
    <row r="271" spans="1:28" ht="30.75" customHeight="1" x14ac:dyDescent="0.3">
      <c r="A271" s="186"/>
      <c r="B271" s="186"/>
      <c r="C271" s="186"/>
      <c r="D271" s="186"/>
      <c r="E271" s="186"/>
      <c r="F271" s="364"/>
      <c r="G271" s="365"/>
      <c r="H271" s="364"/>
      <c r="I271" s="366"/>
      <c r="K271" s="10"/>
      <c r="L271" s="367"/>
      <c r="P271" s="202"/>
      <c r="AA271" s="384"/>
    </row>
    <row r="272" spans="1:28" ht="30.75" customHeight="1" x14ac:dyDescent="0.3">
      <c r="A272" s="186"/>
      <c r="B272" s="186"/>
      <c r="C272" s="186"/>
      <c r="D272" s="186"/>
      <c r="E272" s="186"/>
      <c r="F272" s="364"/>
      <c r="G272" s="365"/>
      <c r="H272" s="364"/>
      <c r="I272" s="366"/>
      <c r="K272" s="10"/>
      <c r="L272" s="367"/>
      <c r="P272" s="202"/>
      <c r="AA272" s="384"/>
    </row>
    <row r="273" spans="1:27" ht="30.75" customHeight="1" x14ac:dyDescent="0.3">
      <c r="A273" s="186"/>
      <c r="B273" s="186"/>
      <c r="C273" s="186"/>
      <c r="D273" s="186"/>
      <c r="E273" s="186"/>
      <c r="F273" s="364"/>
      <c r="G273" s="365"/>
      <c r="H273" s="364"/>
      <c r="I273" s="366"/>
      <c r="K273" s="10"/>
      <c r="L273" s="367"/>
      <c r="P273" s="202"/>
      <c r="AA273" s="384"/>
    </row>
    <row r="274" spans="1:27" x14ac:dyDescent="0.3">
      <c r="A274" s="186"/>
      <c r="B274" s="186"/>
      <c r="C274" s="186"/>
      <c r="D274" s="186"/>
      <c r="E274" s="186"/>
      <c r="I274" s="366"/>
      <c r="K274" s="10"/>
      <c r="L274" s="367"/>
      <c r="P274" s="202"/>
      <c r="AA274" s="384"/>
    </row>
    <row r="275" spans="1:27" x14ac:dyDescent="0.3">
      <c r="A275" s="186"/>
      <c r="B275" s="186"/>
      <c r="C275" s="186"/>
      <c r="D275" s="186"/>
      <c r="E275" s="186"/>
      <c r="I275" s="366"/>
      <c r="L275" s="367"/>
      <c r="P275" s="202"/>
      <c r="AA275" s="384"/>
    </row>
    <row r="276" spans="1:27" x14ac:dyDescent="0.3">
      <c r="A276" s="5"/>
      <c r="B276" s="368"/>
      <c r="C276" s="23"/>
      <c r="D276" s="72"/>
      <c r="I276" s="366"/>
      <c r="L276" s="367"/>
      <c r="P276" s="202"/>
      <c r="AA276" s="384"/>
    </row>
    <row r="277" spans="1:27" x14ac:dyDescent="0.3">
      <c r="A277" s="5"/>
      <c r="B277" s="368"/>
      <c r="C277" s="23"/>
      <c r="D277" s="72"/>
      <c r="L277" s="367"/>
      <c r="P277" s="202"/>
      <c r="AA277" s="384"/>
    </row>
    <row r="278" spans="1:27" x14ac:dyDescent="0.3">
      <c r="D278" s="72"/>
      <c r="P278" s="202"/>
      <c r="AA278" s="384"/>
    </row>
    <row r="279" spans="1:27" x14ac:dyDescent="0.3">
      <c r="D279" s="72"/>
      <c r="P279" s="202"/>
      <c r="AA279" s="384"/>
    </row>
    <row r="280" spans="1:27" x14ac:dyDescent="0.3">
      <c r="D280" s="72"/>
      <c r="P280" s="202"/>
      <c r="AA280" s="384"/>
    </row>
    <row r="281" spans="1:27" x14ac:dyDescent="0.3">
      <c r="D281" s="72"/>
      <c r="P281" s="202"/>
      <c r="AA281" s="384"/>
    </row>
    <row r="282" spans="1:27" x14ac:dyDescent="0.3">
      <c r="A282" s="5"/>
      <c r="B282" s="368"/>
      <c r="C282" s="23"/>
      <c r="D282" s="72"/>
      <c r="P282" s="202"/>
      <c r="AA282" s="384"/>
    </row>
    <row r="283" spans="1:27" x14ac:dyDescent="0.3">
      <c r="A283" s="5"/>
      <c r="B283" s="368"/>
      <c r="C283" s="23"/>
      <c r="D283" s="72"/>
      <c r="P283" s="202"/>
      <c r="AA283" s="384"/>
    </row>
    <row r="284" spans="1:27" x14ac:dyDescent="0.3">
      <c r="D284" s="72"/>
      <c r="P284" s="202"/>
      <c r="AA284" s="384"/>
    </row>
    <row r="285" spans="1:27" x14ac:dyDescent="0.3">
      <c r="D285" s="72"/>
      <c r="P285" s="202"/>
      <c r="AA285" s="384"/>
    </row>
    <row r="286" spans="1:27" x14ac:dyDescent="0.3">
      <c r="D286" s="72"/>
      <c r="P286" s="202"/>
      <c r="AA286" s="384"/>
    </row>
    <row r="287" spans="1:27" x14ac:dyDescent="0.3">
      <c r="D287" s="72"/>
      <c r="P287" s="202"/>
      <c r="AA287" s="384"/>
    </row>
    <row r="288" spans="1:27" x14ac:dyDescent="0.3">
      <c r="A288" s="5"/>
      <c r="B288" s="368"/>
      <c r="C288" s="23"/>
      <c r="D288" s="72"/>
      <c r="P288" s="202"/>
      <c r="AA288" s="384"/>
    </row>
    <row r="289" spans="1:27" x14ac:dyDescent="0.3">
      <c r="A289" s="5"/>
      <c r="B289" s="368"/>
      <c r="C289" s="23"/>
      <c r="D289" s="72"/>
      <c r="P289" s="202"/>
      <c r="AA289" s="384"/>
    </row>
    <row r="290" spans="1:27" x14ac:dyDescent="0.3">
      <c r="D290" s="72"/>
      <c r="P290" s="202"/>
      <c r="AA290" s="384"/>
    </row>
    <row r="291" spans="1:27" x14ac:dyDescent="0.3">
      <c r="D291" s="72"/>
      <c r="P291" s="202"/>
      <c r="AA291" s="384"/>
    </row>
    <row r="292" spans="1:27" x14ac:dyDescent="0.3">
      <c r="D292" s="72"/>
      <c r="P292" s="202"/>
      <c r="AA292" s="384"/>
    </row>
    <row r="293" spans="1:27" x14ac:dyDescent="0.3">
      <c r="D293" s="72"/>
      <c r="P293" s="202"/>
      <c r="AA293" s="384"/>
    </row>
    <row r="294" spans="1:27" x14ac:dyDescent="0.3">
      <c r="A294" s="5"/>
      <c r="B294" s="368"/>
      <c r="C294" s="23"/>
      <c r="D294" s="72"/>
      <c r="P294" s="202"/>
      <c r="AA294" s="384"/>
    </row>
    <row r="295" spans="1:27" x14ac:dyDescent="0.3">
      <c r="A295" s="5"/>
      <c r="B295" s="368"/>
      <c r="C295" s="23"/>
      <c r="D295" s="72"/>
      <c r="P295" s="202"/>
      <c r="AA295" s="384"/>
    </row>
    <row r="296" spans="1:27" x14ac:dyDescent="0.3">
      <c r="A296" s="5"/>
      <c r="B296" s="368"/>
      <c r="C296" s="23"/>
      <c r="D296" s="72"/>
      <c r="P296" s="202"/>
      <c r="AA296" s="384"/>
    </row>
    <row r="297" spans="1:27" x14ac:dyDescent="0.3">
      <c r="A297" s="5"/>
      <c r="B297" s="368"/>
      <c r="C297" s="23"/>
      <c r="D297" s="72"/>
      <c r="P297" s="202"/>
      <c r="AA297" s="384"/>
    </row>
    <row r="298" spans="1:27" x14ac:dyDescent="0.3">
      <c r="D298" s="72"/>
      <c r="P298" s="202"/>
      <c r="AA298" s="384"/>
    </row>
    <row r="299" spans="1:27" x14ac:dyDescent="0.3">
      <c r="D299" s="72"/>
      <c r="P299" s="202"/>
      <c r="AA299" s="384"/>
    </row>
    <row r="300" spans="1:27" x14ac:dyDescent="0.3">
      <c r="D300" s="72"/>
      <c r="P300" s="202"/>
      <c r="AA300" s="384"/>
    </row>
    <row r="301" spans="1:27" x14ac:dyDescent="0.3">
      <c r="A301" s="5"/>
      <c r="B301" s="368"/>
      <c r="C301" s="23"/>
      <c r="D301" s="72"/>
      <c r="P301" s="202"/>
      <c r="AA301" s="384"/>
    </row>
    <row r="302" spans="1:27" x14ac:dyDescent="0.3">
      <c r="A302" s="5"/>
      <c r="B302" s="368"/>
      <c r="C302" s="23"/>
      <c r="D302" s="72"/>
      <c r="P302" s="202"/>
      <c r="AA302" s="384"/>
    </row>
    <row r="303" spans="1:27" x14ac:dyDescent="0.3">
      <c r="A303" s="5"/>
      <c r="B303" s="368"/>
      <c r="C303" s="23"/>
      <c r="D303" s="72"/>
      <c r="P303" s="202"/>
      <c r="AA303" s="384"/>
    </row>
    <row r="304" spans="1:27" x14ac:dyDescent="0.3">
      <c r="A304" s="5"/>
      <c r="B304" s="368"/>
      <c r="C304" s="23"/>
      <c r="D304" s="72"/>
      <c r="P304" s="202"/>
      <c r="AA304" s="384"/>
    </row>
    <row r="305" spans="1:27" x14ac:dyDescent="0.3">
      <c r="A305" s="5"/>
      <c r="B305" s="368"/>
      <c r="C305" s="23"/>
      <c r="D305" s="72"/>
      <c r="P305" s="202"/>
      <c r="AA305" s="384"/>
    </row>
    <row r="306" spans="1:27" x14ac:dyDescent="0.3">
      <c r="A306" s="5"/>
      <c r="B306" s="368"/>
      <c r="C306" s="23"/>
      <c r="D306" s="72"/>
      <c r="P306" s="202"/>
      <c r="AA306" s="384"/>
    </row>
    <row r="307" spans="1:27" x14ac:dyDescent="0.3">
      <c r="A307" s="5"/>
      <c r="B307" s="368"/>
      <c r="C307" s="23"/>
      <c r="D307" s="72"/>
      <c r="P307" s="202"/>
      <c r="AA307" s="384"/>
    </row>
    <row r="308" spans="1:27" x14ac:dyDescent="0.3">
      <c r="A308" s="5"/>
      <c r="B308" s="368"/>
      <c r="C308" s="23"/>
      <c r="D308" s="72"/>
      <c r="P308" s="202"/>
      <c r="AA308" s="384"/>
    </row>
    <row r="309" spans="1:27" x14ac:dyDescent="0.3">
      <c r="A309" s="5"/>
      <c r="B309" s="368"/>
      <c r="C309" s="23"/>
      <c r="D309" s="72"/>
      <c r="P309" s="202"/>
      <c r="AA309" s="384"/>
    </row>
    <row r="310" spans="1:27" x14ac:dyDescent="0.3">
      <c r="A310" s="5"/>
      <c r="B310" s="368"/>
      <c r="C310" s="23"/>
      <c r="D310" s="72"/>
      <c r="P310" s="202"/>
      <c r="AA310" s="384"/>
    </row>
    <row r="311" spans="1:27" x14ac:dyDescent="0.3">
      <c r="A311" s="5"/>
      <c r="B311" s="368"/>
      <c r="C311" s="23"/>
      <c r="D311" s="72"/>
      <c r="P311" s="202"/>
      <c r="AA311" s="384"/>
    </row>
    <row r="312" spans="1:27" x14ac:dyDescent="0.3">
      <c r="A312" s="5"/>
      <c r="B312" s="368"/>
      <c r="C312" s="23"/>
      <c r="D312" s="72"/>
      <c r="P312" s="202"/>
      <c r="AA312" s="384"/>
    </row>
    <row r="313" spans="1:27" x14ac:dyDescent="0.3">
      <c r="A313" s="5"/>
      <c r="B313" s="368"/>
      <c r="C313" s="23"/>
      <c r="D313" s="72"/>
      <c r="P313" s="202"/>
      <c r="AA313" s="384"/>
    </row>
    <row r="314" spans="1:27" x14ac:dyDescent="0.3">
      <c r="A314" s="5"/>
      <c r="B314" s="368"/>
      <c r="C314" s="23"/>
      <c r="D314" s="72"/>
      <c r="P314" s="202"/>
      <c r="AA314" s="384"/>
    </row>
    <row r="315" spans="1:27" x14ac:dyDescent="0.3">
      <c r="A315" s="5"/>
      <c r="B315" s="368"/>
      <c r="C315" s="23"/>
      <c r="D315" s="72"/>
      <c r="P315" s="202"/>
      <c r="AA315" s="384"/>
    </row>
    <row r="316" spans="1:27" x14ac:dyDescent="0.3">
      <c r="A316" s="5"/>
      <c r="B316" s="368"/>
      <c r="C316" s="23"/>
      <c r="D316" s="72"/>
      <c r="P316" s="202"/>
      <c r="AA316" s="384"/>
    </row>
    <row r="317" spans="1:27" x14ac:dyDescent="0.3">
      <c r="A317" s="5"/>
      <c r="B317" s="368"/>
      <c r="C317" s="23"/>
      <c r="D317" s="72"/>
      <c r="P317" s="202"/>
      <c r="AA317" s="384"/>
    </row>
    <row r="318" spans="1:27" x14ac:dyDescent="0.3">
      <c r="A318" s="5"/>
      <c r="B318" s="368"/>
      <c r="C318" s="23"/>
      <c r="D318" s="72"/>
      <c r="P318" s="202"/>
      <c r="AA318" s="384"/>
    </row>
    <row r="319" spans="1:27" x14ac:dyDescent="0.3">
      <c r="A319" s="5"/>
      <c r="B319" s="368"/>
      <c r="C319" s="23"/>
      <c r="D319" s="72"/>
      <c r="P319" s="202"/>
      <c r="AA319" s="384"/>
    </row>
    <row r="320" spans="1:27" x14ac:dyDescent="0.3">
      <c r="A320" s="5"/>
      <c r="B320" s="368"/>
      <c r="C320" s="23"/>
      <c r="D320" s="72"/>
      <c r="P320" s="202"/>
    </row>
    <row r="321" spans="1:16" x14ac:dyDescent="0.3">
      <c r="A321" s="5"/>
      <c r="B321" s="368"/>
      <c r="C321" s="23"/>
      <c r="D321" s="72"/>
      <c r="P321" s="202"/>
    </row>
    <row r="322" spans="1:16" x14ac:dyDescent="0.3">
      <c r="A322" s="5"/>
      <c r="B322" s="368"/>
      <c r="C322" s="23"/>
      <c r="D322" s="72"/>
      <c r="P322" s="202"/>
    </row>
    <row r="323" spans="1:16" x14ac:dyDescent="0.3">
      <c r="A323" s="5"/>
      <c r="B323" s="368"/>
      <c r="C323" s="23"/>
      <c r="D323" s="72"/>
      <c r="P323" s="202"/>
    </row>
    <row r="324" spans="1:16" x14ac:dyDescent="0.3">
      <c r="A324" s="5"/>
      <c r="B324" s="368"/>
      <c r="C324" s="23"/>
      <c r="D324" s="72"/>
      <c r="P324" s="202"/>
    </row>
    <row r="325" spans="1:16" x14ac:dyDescent="0.3">
      <c r="A325" s="5"/>
      <c r="B325" s="368"/>
      <c r="C325" s="23"/>
      <c r="D325" s="72"/>
      <c r="P325" s="202"/>
    </row>
    <row r="326" spans="1:16" x14ac:dyDescent="0.3">
      <c r="A326" s="5"/>
      <c r="B326" s="368"/>
      <c r="C326" s="23"/>
      <c r="D326" s="72"/>
      <c r="P326" s="202"/>
    </row>
    <row r="327" spans="1:16" x14ac:dyDescent="0.3">
      <c r="A327" s="5"/>
      <c r="B327" s="368"/>
      <c r="C327" s="23"/>
      <c r="D327" s="72"/>
      <c r="P327" s="202"/>
    </row>
    <row r="328" spans="1:16" x14ac:dyDescent="0.3">
      <c r="A328" s="5"/>
      <c r="B328" s="368"/>
      <c r="C328" s="23"/>
      <c r="D328" s="72"/>
      <c r="P328" s="202"/>
    </row>
    <row r="329" spans="1:16" x14ac:dyDescent="0.3">
      <c r="A329" s="5"/>
      <c r="B329" s="368"/>
      <c r="C329" s="23"/>
      <c r="D329" s="72"/>
      <c r="P329" s="202"/>
    </row>
    <row r="330" spans="1:16" x14ac:dyDescent="0.3">
      <c r="A330" s="5"/>
      <c r="B330" s="368"/>
      <c r="C330" s="23"/>
      <c r="D330" s="72"/>
      <c r="P330" s="202"/>
    </row>
    <row r="331" spans="1:16" x14ac:dyDescent="0.3">
      <c r="A331" s="5"/>
      <c r="B331" s="368"/>
      <c r="C331" s="23"/>
      <c r="D331" s="72"/>
      <c r="P331" s="202"/>
    </row>
    <row r="332" spans="1:16" x14ac:dyDescent="0.3">
      <c r="A332" s="5"/>
      <c r="B332" s="368"/>
      <c r="C332" s="23"/>
      <c r="D332" s="72"/>
      <c r="P332" s="202"/>
    </row>
    <row r="333" spans="1:16" x14ac:dyDescent="0.3">
      <c r="A333" s="5"/>
      <c r="B333" s="368"/>
      <c r="C333" s="23"/>
      <c r="D333" s="72"/>
      <c r="P333" s="202"/>
    </row>
    <row r="334" spans="1:16" x14ac:dyDescent="0.3">
      <c r="A334" s="5"/>
      <c r="B334" s="368"/>
      <c r="C334" s="23"/>
      <c r="D334" s="72"/>
      <c r="P334" s="202"/>
    </row>
    <row r="335" spans="1:16" x14ac:dyDescent="0.3">
      <c r="A335" s="5"/>
      <c r="B335" s="368"/>
      <c r="C335" s="23"/>
      <c r="D335" s="72"/>
      <c r="P335" s="202"/>
    </row>
    <row r="336" spans="1:16" x14ac:dyDescent="0.3">
      <c r="A336" s="5"/>
      <c r="B336" s="368"/>
      <c r="C336" s="23"/>
      <c r="D336" s="72"/>
      <c r="P336" s="202"/>
    </row>
    <row r="337" spans="1:16" x14ac:dyDescent="0.3">
      <c r="A337" s="5"/>
      <c r="B337" s="368"/>
      <c r="C337" s="23"/>
      <c r="D337" s="72"/>
      <c r="P337" s="202"/>
    </row>
    <row r="338" spans="1:16" x14ac:dyDescent="0.3">
      <c r="A338" s="5"/>
      <c r="B338" s="368"/>
      <c r="C338" s="23"/>
      <c r="D338" s="72"/>
      <c r="P338" s="202"/>
    </row>
    <row r="339" spans="1:16" x14ac:dyDescent="0.3">
      <c r="A339" s="5"/>
      <c r="B339" s="368"/>
      <c r="C339" s="23"/>
      <c r="D339" s="72"/>
      <c r="P339" s="202"/>
    </row>
    <row r="340" spans="1:16" x14ac:dyDescent="0.3">
      <c r="A340" s="5"/>
      <c r="B340" s="368"/>
      <c r="C340" s="23"/>
      <c r="D340" s="72"/>
      <c r="P340" s="202"/>
    </row>
    <row r="341" spans="1:16" x14ac:dyDescent="0.3">
      <c r="A341" s="5"/>
      <c r="B341" s="368"/>
      <c r="C341" s="23"/>
      <c r="D341" s="72"/>
      <c r="P341" s="202"/>
    </row>
    <row r="342" spans="1:16" x14ac:dyDescent="0.3">
      <c r="A342" s="5"/>
      <c r="B342" s="368"/>
      <c r="C342" s="23"/>
      <c r="D342" s="72"/>
      <c r="P342" s="202"/>
    </row>
    <row r="343" spans="1:16" x14ac:dyDescent="0.3">
      <c r="A343" s="5"/>
      <c r="B343" s="368"/>
      <c r="C343" s="23"/>
      <c r="D343" s="72"/>
      <c r="P343" s="202"/>
    </row>
    <row r="344" spans="1:16" x14ac:dyDescent="0.3">
      <c r="A344" s="5"/>
      <c r="B344" s="368"/>
      <c r="C344" s="23"/>
      <c r="D344" s="72"/>
      <c r="P344" s="202"/>
    </row>
    <row r="345" spans="1:16" x14ac:dyDescent="0.3">
      <c r="A345" s="5"/>
      <c r="B345" s="368"/>
      <c r="C345" s="23"/>
      <c r="D345" s="72"/>
      <c r="P345" s="202"/>
    </row>
    <row r="346" spans="1:16" x14ac:dyDescent="0.3">
      <c r="A346" s="5"/>
      <c r="B346" s="368"/>
      <c r="C346" s="23"/>
      <c r="D346" s="72"/>
      <c r="P346" s="202"/>
    </row>
    <row r="347" spans="1:16" x14ac:dyDescent="0.3">
      <c r="A347" s="5"/>
      <c r="B347" s="368"/>
      <c r="C347" s="23"/>
      <c r="D347" s="72"/>
      <c r="P347" s="202"/>
    </row>
    <row r="348" spans="1:16" x14ac:dyDescent="0.3">
      <c r="A348" s="5"/>
      <c r="B348" s="368"/>
      <c r="C348" s="23"/>
      <c r="D348" s="72"/>
      <c r="P348" s="202"/>
    </row>
    <row r="349" spans="1:16" x14ac:dyDescent="0.3">
      <c r="A349" s="5"/>
      <c r="B349" s="368"/>
      <c r="C349" s="23"/>
      <c r="D349" s="72"/>
      <c r="P349" s="202"/>
    </row>
    <row r="350" spans="1:16" x14ac:dyDescent="0.3">
      <c r="A350" s="5"/>
      <c r="B350" s="368"/>
      <c r="C350" s="23"/>
      <c r="D350" s="72"/>
      <c r="P350" s="202"/>
    </row>
    <row r="351" spans="1:16" x14ac:dyDescent="0.3">
      <c r="A351" s="5"/>
      <c r="B351" s="368"/>
      <c r="C351" s="23"/>
      <c r="D351" s="72"/>
      <c r="P351" s="202"/>
    </row>
    <row r="352" spans="1:16" x14ac:dyDescent="0.3">
      <c r="A352" s="5"/>
      <c r="B352" s="368"/>
      <c r="C352" s="23"/>
      <c r="D352" s="72"/>
      <c r="P352" s="202"/>
    </row>
    <row r="353" spans="1:16" x14ac:dyDescent="0.3">
      <c r="A353" s="5"/>
      <c r="B353" s="368"/>
      <c r="C353" s="23"/>
      <c r="D353" s="72"/>
      <c r="P353" s="202"/>
    </row>
    <row r="354" spans="1:16" x14ac:dyDescent="0.3">
      <c r="A354" s="5"/>
      <c r="B354" s="368"/>
      <c r="C354" s="23"/>
      <c r="D354" s="72"/>
      <c r="P354" s="202"/>
    </row>
    <row r="355" spans="1:16" x14ac:dyDescent="0.3">
      <c r="A355" s="5"/>
      <c r="B355" s="368"/>
      <c r="C355" s="23"/>
      <c r="D355" s="72"/>
      <c r="P355" s="202"/>
    </row>
    <row r="356" spans="1:16" x14ac:dyDescent="0.3">
      <c r="A356" s="5"/>
      <c r="B356" s="368"/>
      <c r="C356" s="23"/>
      <c r="D356" s="72"/>
      <c r="P356" s="202"/>
    </row>
    <row r="357" spans="1:16" x14ac:dyDescent="0.3">
      <c r="A357" s="5"/>
      <c r="B357" s="368"/>
      <c r="C357" s="23"/>
      <c r="D357" s="72"/>
      <c r="P357" s="202"/>
    </row>
    <row r="358" spans="1:16" x14ac:dyDescent="0.3">
      <c r="A358" s="5"/>
      <c r="B358" s="368"/>
      <c r="C358" s="23"/>
      <c r="D358" s="72"/>
      <c r="P358" s="202"/>
    </row>
    <row r="359" spans="1:16" x14ac:dyDescent="0.3">
      <c r="A359" s="5"/>
      <c r="B359" s="368"/>
      <c r="C359" s="23"/>
      <c r="D359" s="72"/>
      <c r="P359" s="202"/>
    </row>
    <row r="360" spans="1:16" x14ac:dyDescent="0.3">
      <c r="A360" s="5"/>
      <c r="B360" s="368"/>
      <c r="C360" s="23"/>
      <c r="D360" s="72"/>
      <c r="P360" s="202"/>
    </row>
    <row r="361" spans="1:16" x14ac:dyDescent="0.3">
      <c r="A361" s="5"/>
      <c r="B361" s="368"/>
      <c r="C361" s="23"/>
      <c r="D361" s="72"/>
      <c r="P361" s="202"/>
    </row>
    <row r="362" spans="1:16" x14ac:dyDescent="0.3">
      <c r="A362" s="5"/>
      <c r="B362" s="368"/>
      <c r="C362" s="23"/>
      <c r="D362" s="72"/>
      <c r="P362" s="202"/>
    </row>
    <row r="363" spans="1:16" x14ac:dyDescent="0.3">
      <c r="A363" s="5"/>
      <c r="B363" s="368"/>
      <c r="C363" s="23"/>
      <c r="D363" s="72"/>
      <c r="P363" s="202"/>
    </row>
    <row r="364" spans="1:16" x14ac:dyDescent="0.3">
      <c r="A364" s="5"/>
      <c r="B364" s="368"/>
      <c r="C364" s="23"/>
      <c r="D364" s="72"/>
      <c r="P364" s="202"/>
    </row>
    <row r="365" spans="1:16" x14ac:dyDescent="0.3">
      <c r="A365" s="5"/>
      <c r="B365" s="368"/>
      <c r="C365" s="23"/>
      <c r="D365" s="72"/>
      <c r="P365" s="202"/>
    </row>
    <row r="366" spans="1:16" x14ac:dyDescent="0.3">
      <c r="A366" s="5"/>
      <c r="B366" s="368"/>
      <c r="C366" s="23"/>
      <c r="D366" s="72"/>
      <c r="P366" s="202"/>
    </row>
    <row r="367" spans="1:16" x14ac:dyDescent="0.3">
      <c r="A367" s="5"/>
      <c r="B367" s="368"/>
      <c r="C367" s="23"/>
      <c r="D367" s="72"/>
      <c r="P367" s="202"/>
    </row>
    <row r="368" spans="1:16" x14ac:dyDescent="0.3">
      <c r="A368" s="5"/>
      <c r="B368" s="368"/>
      <c r="C368" s="23"/>
      <c r="D368" s="72"/>
      <c r="P368" s="202"/>
    </row>
    <row r="369" spans="1:16" x14ac:dyDescent="0.3">
      <c r="A369" s="5"/>
      <c r="B369" s="368"/>
      <c r="C369" s="23"/>
      <c r="D369" s="72"/>
      <c r="P369" s="202"/>
    </row>
    <row r="370" spans="1:16" x14ac:dyDescent="0.3">
      <c r="A370" s="5"/>
      <c r="B370" s="368"/>
      <c r="C370" s="23"/>
      <c r="D370" s="72"/>
      <c r="P370" s="202"/>
    </row>
    <row r="371" spans="1:16" x14ac:dyDescent="0.3">
      <c r="A371" s="5"/>
      <c r="B371" s="368"/>
      <c r="C371" s="23"/>
      <c r="D371" s="72"/>
      <c r="P371" s="202"/>
    </row>
    <row r="372" spans="1:16" x14ac:dyDescent="0.3">
      <c r="A372" s="5"/>
      <c r="B372" s="368"/>
      <c r="C372" s="23"/>
      <c r="D372" s="72"/>
      <c r="P372" s="202"/>
    </row>
    <row r="373" spans="1:16" x14ac:dyDescent="0.3">
      <c r="A373" s="5"/>
      <c r="B373" s="368"/>
      <c r="C373" s="23"/>
      <c r="D373" s="72"/>
      <c r="P373" s="202"/>
    </row>
    <row r="374" spans="1:16" x14ac:dyDescent="0.3">
      <c r="A374" s="5"/>
      <c r="B374" s="368"/>
      <c r="C374" s="23"/>
      <c r="D374" s="72"/>
      <c r="P374" s="202"/>
    </row>
    <row r="375" spans="1:16" x14ac:dyDescent="0.3">
      <c r="A375" s="5"/>
      <c r="B375" s="368"/>
      <c r="C375" s="23"/>
      <c r="D375" s="72"/>
      <c r="P375" s="202"/>
    </row>
    <row r="376" spans="1:16" x14ac:dyDescent="0.3">
      <c r="A376" s="5"/>
      <c r="B376" s="368"/>
      <c r="C376" s="23"/>
      <c r="D376" s="72"/>
      <c r="P376" s="202"/>
    </row>
    <row r="377" spans="1:16" x14ac:dyDescent="0.3">
      <c r="A377" s="5"/>
      <c r="B377" s="368"/>
      <c r="C377" s="23"/>
      <c r="D377" s="72"/>
      <c r="P377" s="202"/>
    </row>
    <row r="378" spans="1:16" x14ac:dyDescent="0.3">
      <c r="A378" s="5"/>
      <c r="B378" s="368"/>
      <c r="C378" s="23"/>
      <c r="D378" s="72"/>
      <c r="P378" s="202"/>
    </row>
    <row r="379" spans="1:16" x14ac:dyDescent="0.3">
      <c r="A379" s="5"/>
      <c r="B379" s="368"/>
      <c r="C379" s="23"/>
      <c r="D379" s="72"/>
    </row>
    <row r="380" spans="1:16" x14ac:dyDescent="0.3">
      <c r="A380" s="5"/>
      <c r="B380" s="368"/>
      <c r="C380" s="23"/>
      <c r="D380" s="72"/>
      <c r="P380" s="202"/>
    </row>
    <row r="381" spans="1:16" x14ac:dyDescent="0.3">
      <c r="A381" s="5"/>
      <c r="B381" s="368"/>
      <c r="C381" s="23"/>
      <c r="D381" s="72"/>
    </row>
    <row r="382" spans="1:16" x14ac:dyDescent="0.3">
      <c r="A382" s="5"/>
      <c r="B382" s="368"/>
      <c r="C382" s="23"/>
      <c r="D382" s="72"/>
    </row>
    <row r="383" spans="1:16" x14ac:dyDescent="0.3">
      <c r="A383" s="5"/>
      <c r="B383" s="368"/>
      <c r="C383" s="23"/>
      <c r="D383" s="72"/>
    </row>
    <row r="384" spans="1:16" x14ac:dyDescent="0.3">
      <c r="A384" s="5"/>
      <c r="B384" s="368"/>
      <c r="C384" s="23"/>
      <c r="D384" s="72"/>
    </row>
    <row r="385" spans="1:4" x14ac:dyDescent="0.3">
      <c r="A385" s="5"/>
      <c r="B385" s="368"/>
      <c r="C385" s="23"/>
      <c r="D385" s="72"/>
    </row>
    <row r="386" spans="1:4" x14ac:dyDescent="0.3">
      <c r="A386" s="5"/>
      <c r="B386" s="368"/>
      <c r="C386" s="23"/>
      <c r="D386" s="72"/>
    </row>
    <row r="387" spans="1:4" x14ac:dyDescent="0.3">
      <c r="A387" s="5"/>
      <c r="B387" s="368"/>
      <c r="C387" s="23"/>
      <c r="D387" s="72"/>
    </row>
    <row r="388" spans="1:4" x14ac:dyDescent="0.3">
      <c r="A388" s="5"/>
      <c r="B388" s="368"/>
      <c r="C388" s="23"/>
      <c r="D388" s="72"/>
    </row>
    <row r="389" spans="1:4" x14ac:dyDescent="0.3">
      <c r="A389" s="5"/>
      <c r="B389" s="368"/>
      <c r="C389" s="23"/>
      <c r="D389" s="72"/>
    </row>
    <row r="390" spans="1:4" x14ac:dyDescent="0.3">
      <c r="A390" s="5"/>
      <c r="B390" s="368"/>
      <c r="C390" s="23"/>
      <c r="D390" s="72"/>
    </row>
    <row r="391" spans="1:4" x14ac:dyDescent="0.3">
      <c r="A391" s="5"/>
      <c r="B391" s="368"/>
      <c r="C391" s="23"/>
      <c r="D391" s="72"/>
    </row>
    <row r="392" spans="1:4" x14ac:dyDescent="0.3">
      <c r="A392" s="5"/>
      <c r="B392" s="368"/>
      <c r="C392" s="23"/>
      <c r="D392" s="72"/>
    </row>
    <row r="393" spans="1:4" x14ac:dyDescent="0.3">
      <c r="A393" s="5"/>
      <c r="B393" s="368"/>
      <c r="C393" s="23"/>
      <c r="D393" s="72"/>
    </row>
    <row r="394" spans="1:4" x14ac:dyDescent="0.3">
      <c r="A394" s="5"/>
      <c r="B394" s="368"/>
      <c r="C394" s="23"/>
      <c r="D394" s="72"/>
    </row>
    <row r="395" spans="1:4" x14ac:dyDescent="0.3">
      <c r="A395" s="5"/>
      <c r="B395" s="368"/>
      <c r="C395" s="23"/>
      <c r="D395" s="72"/>
    </row>
    <row r="396" spans="1:4" x14ac:dyDescent="0.3">
      <c r="A396" s="5"/>
      <c r="B396" s="368"/>
      <c r="C396" s="23"/>
      <c r="D396" s="72"/>
    </row>
    <row r="397" spans="1:4" x14ac:dyDescent="0.3">
      <c r="A397" s="5"/>
      <c r="B397" s="368"/>
      <c r="C397" s="23"/>
      <c r="D397" s="72"/>
    </row>
    <row r="398" spans="1:4" x14ac:dyDescent="0.3">
      <c r="A398" s="5"/>
      <c r="B398" s="368"/>
      <c r="C398" s="23"/>
      <c r="D398" s="72"/>
    </row>
    <row r="399" spans="1:4" x14ac:dyDescent="0.3">
      <c r="A399" s="5"/>
      <c r="B399" s="368"/>
      <c r="C399" s="23"/>
      <c r="D399" s="72"/>
    </row>
    <row r="400" spans="1:4" x14ac:dyDescent="0.3">
      <c r="A400" s="5"/>
      <c r="B400" s="368"/>
      <c r="C400" s="23"/>
      <c r="D400" s="72"/>
    </row>
    <row r="401" spans="1:4" x14ac:dyDescent="0.3">
      <c r="A401" s="5"/>
      <c r="B401" s="368"/>
      <c r="C401" s="23"/>
      <c r="D401" s="72"/>
    </row>
    <row r="402" spans="1:4" x14ac:dyDescent="0.3">
      <c r="A402" s="5"/>
      <c r="B402" s="368"/>
      <c r="C402" s="23"/>
      <c r="D402" s="72"/>
    </row>
    <row r="403" spans="1:4" x14ac:dyDescent="0.3">
      <c r="A403" s="5"/>
      <c r="B403" s="368"/>
      <c r="C403" s="23"/>
      <c r="D403" s="72"/>
    </row>
    <row r="404" spans="1:4" x14ac:dyDescent="0.3">
      <c r="A404" s="5"/>
      <c r="B404" s="368"/>
      <c r="C404" s="23"/>
      <c r="D404" s="72"/>
    </row>
    <row r="405" spans="1:4" x14ac:dyDescent="0.3">
      <c r="A405" s="5"/>
      <c r="B405" s="368"/>
      <c r="C405" s="23"/>
      <c r="D405" s="72"/>
    </row>
    <row r="406" spans="1:4" x14ac:dyDescent="0.3">
      <c r="A406" s="5"/>
      <c r="B406" s="368"/>
      <c r="C406" s="23"/>
      <c r="D406" s="72"/>
    </row>
    <row r="407" spans="1:4" x14ac:dyDescent="0.3">
      <c r="A407" s="5"/>
      <c r="B407" s="368"/>
      <c r="C407" s="23"/>
      <c r="D407" s="72"/>
    </row>
    <row r="408" spans="1:4" x14ac:dyDescent="0.3">
      <c r="A408" s="5"/>
      <c r="B408" s="368"/>
      <c r="C408" s="23"/>
      <c r="D408" s="72"/>
    </row>
    <row r="409" spans="1:4" x14ac:dyDescent="0.3">
      <c r="A409" s="5"/>
      <c r="B409" s="368"/>
      <c r="C409" s="23"/>
      <c r="D409" s="72"/>
    </row>
    <row r="410" spans="1:4" x14ac:dyDescent="0.3">
      <c r="A410" s="5"/>
      <c r="B410" s="368"/>
      <c r="C410" s="23"/>
      <c r="D410" s="72"/>
    </row>
    <row r="411" spans="1:4" x14ac:dyDescent="0.3">
      <c r="A411" s="5"/>
      <c r="B411" s="368"/>
      <c r="C411" s="23"/>
      <c r="D411" s="72"/>
    </row>
    <row r="412" spans="1:4" x14ac:dyDescent="0.3">
      <c r="A412" s="5"/>
      <c r="B412" s="368"/>
      <c r="C412" s="23"/>
      <c r="D412" s="72"/>
    </row>
    <row r="413" spans="1:4" x14ac:dyDescent="0.3">
      <c r="D413" s="72"/>
    </row>
    <row r="414" spans="1:4" x14ac:dyDescent="0.3">
      <c r="D414" s="72"/>
    </row>
    <row r="415" spans="1:4" x14ac:dyDescent="0.3">
      <c r="D415" s="72"/>
    </row>
    <row r="416" spans="1:4" x14ac:dyDescent="0.3">
      <c r="D416" s="72"/>
    </row>
    <row r="417" spans="4:4" x14ac:dyDescent="0.3">
      <c r="D417" s="72"/>
    </row>
    <row r="418" spans="4:4" x14ac:dyDescent="0.3">
      <c r="D418" s="72"/>
    </row>
    <row r="419" spans="4:4" x14ac:dyDescent="0.3">
      <c r="D419" s="72"/>
    </row>
    <row r="420" spans="4:4" x14ac:dyDescent="0.3">
      <c r="D420" s="72"/>
    </row>
    <row r="421" spans="4:4" x14ac:dyDescent="0.3">
      <c r="D421" s="72"/>
    </row>
    <row r="422" spans="4:4" x14ac:dyDescent="0.3">
      <c r="D422" s="72"/>
    </row>
    <row r="423" spans="4:4" x14ac:dyDescent="0.3">
      <c r="D423" s="72"/>
    </row>
    <row r="424" spans="4:4" x14ac:dyDescent="0.3">
      <c r="D424" s="72"/>
    </row>
    <row r="425" spans="4:4" x14ac:dyDescent="0.3">
      <c r="D425" s="72"/>
    </row>
    <row r="426" spans="4:4" x14ac:dyDescent="0.3">
      <c r="D426" s="72"/>
    </row>
    <row r="427" spans="4:4" x14ac:dyDescent="0.3">
      <c r="D427" s="72"/>
    </row>
    <row r="428" spans="4:4" x14ac:dyDescent="0.3">
      <c r="D428" s="72"/>
    </row>
    <row r="429" spans="4:4" x14ac:dyDescent="0.3">
      <c r="D429" s="72"/>
    </row>
    <row r="430" spans="4:4" x14ac:dyDescent="0.3">
      <c r="D430" s="72"/>
    </row>
    <row r="431" spans="4:4" x14ac:dyDescent="0.3">
      <c r="D431" s="72"/>
    </row>
    <row r="432" spans="4:4" x14ac:dyDescent="0.3">
      <c r="D432" s="72"/>
    </row>
    <row r="433" spans="4:4" x14ac:dyDescent="0.3">
      <c r="D433" s="72"/>
    </row>
    <row r="434" spans="4:4" x14ac:dyDescent="0.3">
      <c r="D434" s="72"/>
    </row>
    <row r="435" spans="4:4" x14ac:dyDescent="0.3">
      <c r="D435" s="72"/>
    </row>
    <row r="436" spans="4:4" x14ac:dyDescent="0.3">
      <c r="D436" s="72"/>
    </row>
    <row r="437" spans="4:4" x14ac:dyDescent="0.3">
      <c r="D437" s="72"/>
    </row>
    <row r="438" spans="4:4" x14ac:dyDescent="0.3">
      <c r="D438" s="72"/>
    </row>
    <row r="439" spans="4:4" x14ac:dyDescent="0.3">
      <c r="D439" s="72"/>
    </row>
    <row r="440" spans="4:4" x14ac:dyDescent="0.3">
      <c r="D440" s="72"/>
    </row>
    <row r="441" spans="4:4" x14ac:dyDescent="0.3">
      <c r="D441" s="72"/>
    </row>
    <row r="442" spans="4:4" x14ac:dyDescent="0.3">
      <c r="D442" s="72"/>
    </row>
    <row r="443" spans="4:4" x14ac:dyDescent="0.3">
      <c r="D443" s="72"/>
    </row>
    <row r="444" spans="4:4" x14ac:dyDescent="0.3">
      <c r="D444" s="72"/>
    </row>
    <row r="445" spans="4:4" x14ac:dyDescent="0.3">
      <c r="D445" s="72"/>
    </row>
    <row r="446" spans="4:4" x14ac:dyDescent="0.3">
      <c r="D446" s="72"/>
    </row>
    <row r="447" spans="4:4" x14ac:dyDescent="0.3">
      <c r="D447" s="72"/>
    </row>
    <row r="448" spans="4:4" x14ac:dyDescent="0.3">
      <c r="D448" s="72"/>
    </row>
    <row r="449" spans="4:4" x14ac:dyDescent="0.3">
      <c r="D449" s="72"/>
    </row>
    <row r="450" spans="4:4" x14ac:dyDescent="0.3">
      <c r="D450" s="72"/>
    </row>
    <row r="451" spans="4:4" x14ac:dyDescent="0.3">
      <c r="D451" s="72"/>
    </row>
    <row r="452" spans="4:4" x14ac:dyDescent="0.3">
      <c r="D452" s="72"/>
    </row>
    <row r="453" spans="4:4" x14ac:dyDescent="0.3">
      <c r="D453" s="72"/>
    </row>
    <row r="454" spans="4:4" x14ac:dyDescent="0.3">
      <c r="D454" s="72"/>
    </row>
    <row r="455" spans="4:4" x14ac:dyDescent="0.3">
      <c r="D455" s="72"/>
    </row>
    <row r="456" spans="4:4" x14ac:dyDescent="0.3">
      <c r="D456" s="72"/>
    </row>
    <row r="457" spans="4:4" x14ac:dyDescent="0.3">
      <c r="D457" s="72"/>
    </row>
    <row r="458" spans="4:4" x14ac:dyDescent="0.3">
      <c r="D458" s="72"/>
    </row>
    <row r="459" spans="4:4" x14ac:dyDescent="0.3">
      <c r="D459" s="72"/>
    </row>
    <row r="460" spans="4:4" x14ac:dyDescent="0.3">
      <c r="D460" s="72"/>
    </row>
    <row r="461" spans="4:4" x14ac:dyDescent="0.3">
      <c r="D461" s="72"/>
    </row>
    <row r="462" spans="4:4" x14ac:dyDescent="0.3">
      <c r="D462" s="72"/>
    </row>
    <row r="463" spans="4:4" x14ac:dyDescent="0.3">
      <c r="D463" s="72"/>
    </row>
    <row r="464" spans="4:4" x14ac:dyDescent="0.3">
      <c r="D464" s="72"/>
    </row>
    <row r="465" spans="4:4" x14ac:dyDescent="0.3">
      <c r="D465" s="72"/>
    </row>
    <row r="466" spans="4:4" x14ac:dyDescent="0.3">
      <c r="D466" s="72"/>
    </row>
    <row r="467" spans="4:4" x14ac:dyDescent="0.3">
      <c r="D467" s="72"/>
    </row>
    <row r="468" spans="4:4" x14ac:dyDescent="0.3">
      <c r="D468" s="72"/>
    </row>
    <row r="469" spans="4:4" x14ac:dyDescent="0.3">
      <c r="D469" s="72"/>
    </row>
    <row r="470" spans="4:4" x14ac:dyDescent="0.3">
      <c r="D470" s="72"/>
    </row>
    <row r="471" spans="4:4" x14ac:dyDescent="0.3">
      <c r="D471" s="72"/>
    </row>
    <row r="472" spans="4:4" x14ac:dyDescent="0.3">
      <c r="D472" s="72"/>
    </row>
    <row r="473" spans="4:4" x14ac:dyDescent="0.3">
      <c r="D473" s="72"/>
    </row>
    <row r="474" spans="4:4" x14ac:dyDescent="0.3">
      <c r="D474" s="72"/>
    </row>
    <row r="475" spans="4:4" x14ac:dyDescent="0.3">
      <c r="D475" s="72"/>
    </row>
    <row r="476" spans="4:4" x14ac:dyDescent="0.3">
      <c r="D476" s="72"/>
    </row>
    <row r="477" spans="4:4" x14ac:dyDescent="0.3">
      <c r="D477" s="72"/>
    </row>
    <row r="478" spans="4:4" x14ac:dyDescent="0.3">
      <c r="D478" s="72"/>
    </row>
    <row r="479" spans="4:4" x14ac:dyDescent="0.3">
      <c r="D479" s="72"/>
    </row>
    <row r="480" spans="4:4" x14ac:dyDescent="0.3">
      <c r="D480" s="72"/>
    </row>
    <row r="481" spans="4:4" x14ac:dyDescent="0.3">
      <c r="D481" s="72"/>
    </row>
    <row r="482" spans="4:4" x14ac:dyDescent="0.3">
      <c r="D482" s="72"/>
    </row>
    <row r="483" spans="4:4" x14ac:dyDescent="0.3">
      <c r="D483" s="72"/>
    </row>
    <row r="484" spans="4:4" x14ac:dyDescent="0.3">
      <c r="D484" s="72"/>
    </row>
    <row r="485" spans="4:4" x14ac:dyDescent="0.3">
      <c r="D485" s="72"/>
    </row>
    <row r="486" spans="4:4" x14ac:dyDescent="0.3">
      <c r="D486" s="72"/>
    </row>
    <row r="487" spans="4:4" x14ac:dyDescent="0.3">
      <c r="D487" s="72"/>
    </row>
    <row r="488" spans="4:4" x14ac:dyDescent="0.3">
      <c r="D488" s="72"/>
    </row>
    <row r="489" spans="4:4" x14ac:dyDescent="0.3">
      <c r="D489" s="72"/>
    </row>
    <row r="490" spans="4:4" x14ac:dyDescent="0.3">
      <c r="D490" s="72"/>
    </row>
    <row r="491" spans="4:4" x14ac:dyDescent="0.3">
      <c r="D491" s="72"/>
    </row>
    <row r="492" spans="4:4" x14ac:dyDescent="0.3">
      <c r="D492" s="72"/>
    </row>
    <row r="493" spans="4:4" x14ac:dyDescent="0.3">
      <c r="D493" s="72"/>
    </row>
    <row r="494" spans="4:4" x14ac:dyDescent="0.3">
      <c r="D494" s="72"/>
    </row>
    <row r="495" spans="4:4" x14ac:dyDescent="0.3">
      <c r="D495" s="72"/>
    </row>
    <row r="496" spans="4:4" x14ac:dyDescent="0.3">
      <c r="D496" s="72"/>
    </row>
    <row r="497" spans="4:4" x14ac:dyDescent="0.3">
      <c r="D497" s="72"/>
    </row>
    <row r="498" spans="4:4" x14ac:dyDescent="0.3">
      <c r="D498" s="72"/>
    </row>
    <row r="499" spans="4:4" x14ac:dyDescent="0.3">
      <c r="D499" s="72"/>
    </row>
    <row r="500" spans="4:4" x14ac:dyDescent="0.3">
      <c r="D500" s="72"/>
    </row>
    <row r="501" spans="4:4" x14ac:dyDescent="0.3">
      <c r="D501" s="72"/>
    </row>
    <row r="502" spans="4:4" x14ac:dyDescent="0.3">
      <c r="D502" s="72"/>
    </row>
    <row r="503" spans="4:4" x14ac:dyDescent="0.3">
      <c r="D503" s="72"/>
    </row>
    <row r="504" spans="4:4" x14ac:dyDescent="0.3">
      <c r="D504" s="72"/>
    </row>
    <row r="505" spans="4:4" x14ac:dyDescent="0.3">
      <c r="D505" s="72"/>
    </row>
    <row r="506" spans="4:4" x14ac:dyDescent="0.3">
      <c r="D506" s="72"/>
    </row>
    <row r="507" spans="4:4" x14ac:dyDescent="0.3">
      <c r="D507" s="72"/>
    </row>
    <row r="508" spans="4:4" x14ac:dyDescent="0.3">
      <c r="D508" s="72"/>
    </row>
    <row r="509" spans="4:4" x14ac:dyDescent="0.3">
      <c r="D509" s="72"/>
    </row>
    <row r="510" spans="4:4" x14ac:dyDescent="0.3">
      <c r="D510" s="72"/>
    </row>
    <row r="511" spans="4:4" x14ac:dyDescent="0.3">
      <c r="D511" s="72"/>
    </row>
    <row r="512" spans="4:4" x14ac:dyDescent="0.3">
      <c r="D512" s="72"/>
    </row>
    <row r="513" spans="4:4" x14ac:dyDescent="0.3">
      <c r="D513" s="72"/>
    </row>
    <row r="514" spans="4:4" x14ac:dyDescent="0.3">
      <c r="D514" s="72"/>
    </row>
    <row r="515" spans="4:4" x14ac:dyDescent="0.3">
      <c r="D515" s="72"/>
    </row>
    <row r="516" spans="4:4" x14ac:dyDescent="0.3">
      <c r="D516" s="72"/>
    </row>
    <row r="517" spans="4:4" x14ac:dyDescent="0.3">
      <c r="D517" s="72"/>
    </row>
    <row r="518" spans="4:4" x14ac:dyDescent="0.3">
      <c r="D518" s="72"/>
    </row>
    <row r="519" spans="4:4" x14ac:dyDescent="0.3">
      <c r="D519" s="72"/>
    </row>
    <row r="520" spans="4:4" x14ac:dyDescent="0.3">
      <c r="D520" s="72"/>
    </row>
    <row r="521" spans="4:4" x14ac:dyDescent="0.3">
      <c r="D521" s="72"/>
    </row>
    <row r="522" spans="4:4" x14ac:dyDescent="0.3">
      <c r="D522" s="72"/>
    </row>
    <row r="523" spans="4:4" x14ac:dyDescent="0.3">
      <c r="D523" s="72"/>
    </row>
    <row r="524" spans="4:4" x14ac:dyDescent="0.3">
      <c r="D524" s="72"/>
    </row>
    <row r="525" spans="4:4" x14ac:dyDescent="0.3">
      <c r="D525" s="72"/>
    </row>
    <row r="526" spans="4:4" x14ac:dyDescent="0.3">
      <c r="D526" s="72"/>
    </row>
    <row r="527" spans="4:4" x14ac:dyDescent="0.3">
      <c r="D527" s="72"/>
    </row>
    <row r="528" spans="4:4" x14ac:dyDescent="0.3">
      <c r="D528" s="72"/>
    </row>
    <row r="529" spans="4:4" x14ac:dyDescent="0.3">
      <c r="D529" s="72"/>
    </row>
    <row r="530" spans="4:4" x14ac:dyDescent="0.3">
      <c r="D530" s="72"/>
    </row>
    <row r="531" spans="4:4" x14ac:dyDescent="0.3">
      <c r="D531" s="72"/>
    </row>
    <row r="532" spans="4:4" x14ac:dyDescent="0.3">
      <c r="D532" s="72"/>
    </row>
    <row r="533" spans="4:4" x14ac:dyDescent="0.3">
      <c r="D533" s="72"/>
    </row>
    <row r="534" spans="4:4" x14ac:dyDescent="0.3">
      <c r="D534" s="72"/>
    </row>
    <row r="535" spans="4:4" x14ac:dyDescent="0.3">
      <c r="D535" s="72"/>
    </row>
    <row r="536" spans="4:4" x14ac:dyDescent="0.3">
      <c r="D536" s="72"/>
    </row>
    <row r="537" spans="4:4" x14ac:dyDescent="0.3">
      <c r="D537" s="72"/>
    </row>
    <row r="538" spans="4:4" x14ac:dyDescent="0.3">
      <c r="D538" s="72"/>
    </row>
    <row r="539" spans="4:4" x14ac:dyDescent="0.3">
      <c r="D539" s="72"/>
    </row>
    <row r="540" spans="4:4" x14ac:dyDescent="0.3">
      <c r="D540" s="72"/>
    </row>
    <row r="541" spans="4:4" x14ac:dyDescent="0.3">
      <c r="D541" s="72"/>
    </row>
    <row r="542" spans="4:4" x14ac:dyDescent="0.3">
      <c r="D542" s="72"/>
    </row>
    <row r="543" spans="4:4" x14ac:dyDescent="0.3">
      <c r="D543" s="72"/>
    </row>
    <row r="544" spans="4:4" x14ac:dyDescent="0.3">
      <c r="D544" s="72"/>
    </row>
    <row r="545" spans="4:4" x14ac:dyDescent="0.3">
      <c r="D545" s="72"/>
    </row>
    <row r="546" spans="4:4" x14ac:dyDescent="0.3">
      <c r="D546" s="72"/>
    </row>
    <row r="547" spans="4:4" x14ac:dyDescent="0.3">
      <c r="D547" s="72"/>
    </row>
    <row r="548" spans="4:4" x14ac:dyDescent="0.3">
      <c r="D548" s="72"/>
    </row>
    <row r="549" spans="4:4" x14ac:dyDescent="0.3">
      <c r="D549" s="72"/>
    </row>
    <row r="550" spans="4:4" x14ac:dyDescent="0.3">
      <c r="D550" s="72"/>
    </row>
    <row r="551" spans="4:4" x14ac:dyDescent="0.3">
      <c r="D551" s="72"/>
    </row>
    <row r="552" spans="4:4" x14ac:dyDescent="0.3">
      <c r="D552" s="72"/>
    </row>
    <row r="553" spans="4:4" x14ac:dyDescent="0.3">
      <c r="D553" s="72"/>
    </row>
    <row r="554" spans="4:4" x14ac:dyDescent="0.3">
      <c r="D554" s="72"/>
    </row>
    <row r="555" spans="4:4" x14ac:dyDescent="0.3">
      <c r="D555" s="72"/>
    </row>
    <row r="556" spans="4:4" x14ac:dyDescent="0.3">
      <c r="D556" s="72"/>
    </row>
    <row r="557" spans="4:4" x14ac:dyDescent="0.3">
      <c r="D557" s="72"/>
    </row>
    <row r="558" spans="4:4" x14ac:dyDescent="0.3">
      <c r="D558" s="72"/>
    </row>
    <row r="559" spans="4:4" x14ac:dyDescent="0.3">
      <c r="D559" s="72"/>
    </row>
    <row r="560" spans="4:4" x14ac:dyDescent="0.3">
      <c r="D560" s="72"/>
    </row>
    <row r="561" spans="4:4" x14ac:dyDescent="0.3">
      <c r="D561" s="72"/>
    </row>
    <row r="562" spans="4:4" x14ac:dyDescent="0.3">
      <c r="D562" s="72"/>
    </row>
    <row r="563" spans="4:4" x14ac:dyDescent="0.3">
      <c r="D563" s="72"/>
    </row>
    <row r="564" spans="4:4" x14ac:dyDescent="0.3">
      <c r="D564" s="72"/>
    </row>
    <row r="565" spans="4:4" x14ac:dyDescent="0.3">
      <c r="D565" s="72"/>
    </row>
    <row r="566" spans="4:4" x14ac:dyDescent="0.3">
      <c r="D566" s="72"/>
    </row>
    <row r="567" spans="4:4" x14ac:dyDescent="0.3">
      <c r="D567" s="72"/>
    </row>
    <row r="568" spans="4:4" x14ac:dyDescent="0.3">
      <c r="D568" s="72"/>
    </row>
    <row r="569" spans="4:4" x14ac:dyDescent="0.3">
      <c r="D569" s="72"/>
    </row>
    <row r="570" spans="4:4" x14ac:dyDescent="0.3">
      <c r="D570" s="72"/>
    </row>
    <row r="571" spans="4:4" x14ac:dyDescent="0.3">
      <c r="D571" s="72"/>
    </row>
    <row r="572" spans="4:4" x14ac:dyDescent="0.3">
      <c r="D572" s="72"/>
    </row>
    <row r="573" spans="4:4" x14ac:dyDescent="0.3">
      <c r="D573" s="72"/>
    </row>
    <row r="574" spans="4:4" x14ac:dyDescent="0.3">
      <c r="D574" s="72"/>
    </row>
    <row r="575" spans="4:4" x14ac:dyDescent="0.3">
      <c r="D575" s="72"/>
    </row>
    <row r="576" spans="4:4" x14ac:dyDescent="0.3">
      <c r="D576" s="72"/>
    </row>
    <row r="577" spans="4:4" x14ac:dyDescent="0.3">
      <c r="D577" s="72"/>
    </row>
    <row r="578" spans="4:4" x14ac:dyDescent="0.3">
      <c r="D578" s="72"/>
    </row>
    <row r="579" spans="4:4" x14ac:dyDescent="0.3">
      <c r="D579" s="72"/>
    </row>
    <row r="580" spans="4:4" x14ac:dyDescent="0.3">
      <c r="D580" s="72"/>
    </row>
    <row r="581" spans="4:4" x14ac:dyDescent="0.3">
      <c r="D581" s="72"/>
    </row>
    <row r="582" spans="4:4" x14ac:dyDescent="0.3">
      <c r="D582" s="72"/>
    </row>
    <row r="583" spans="4:4" x14ac:dyDescent="0.3">
      <c r="D583" s="72"/>
    </row>
    <row r="584" spans="4:4" x14ac:dyDescent="0.3">
      <c r="D584" s="72"/>
    </row>
    <row r="585" spans="4:4" x14ac:dyDescent="0.3">
      <c r="D585" s="72"/>
    </row>
    <row r="586" spans="4:4" x14ac:dyDescent="0.3">
      <c r="D586" s="72"/>
    </row>
    <row r="587" spans="4:4" x14ac:dyDescent="0.3">
      <c r="D587" s="72"/>
    </row>
    <row r="588" spans="4:4" x14ac:dyDescent="0.3">
      <c r="D588" s="72"/>
    </row>
    <row r="589" spans="4:4" x14ac:dyDescent="0.3">
      <c r="D589" s="72"/>
    </row>
    <row r="590" spans="4:4" x14ac:dyDescent="0.3">
      <c r="D590" s="72"/>
    </row>
    <row r="591" spans="4:4" x14ac:dyDescent="0.3">
      <c r="D591" s="72"/>
    </row>
    <row r="592" spans="4:4" x14ac:dyDescent="0.3">
      <c r="D592" s="72"/>
    </row>
    <row r="593" spans="4:4" x14ac:dyDescent="0.3">
      <c r="D593" s="72"/>
    </row>
    <row r="594" spans="4:4" x14ac:dyDescent="0.3">
      <c r="D594" s="72"/>
    </row>
    <row r="595" spans="4:4" x14ac:dyDescent="0.3">
      <c r="D595" s="72"/>
    </row>
    <row r="596" spans="4:4" x14ac:dyDescent="0.3">
      <c r="D596" s="72"/>
    </row>
    <row r="597" spans="4:4" x14ac:dyDescent="0.3">
      <c r="D597" s="72"/>
    </row>
    <row r="598" spans="4:4" x14ac:dyDescent="0.3">
      <c r="D598" s="72"/>
    </row>
    <row r="599" spans="4:4" x14ac:dyDescent="0.3">
      <c r="D599" s="72"/>
    </row>
    <row r="600" spans="4:4" x14ac:dyDescent="0.3">
      <c r="D600" s="72"/>
    </row>
    <row r="601" spans="4:4" x14ac:dyDescent="0.3">
      <c r="D601" s="72"/>
    </row>
    <row r="602" spans="4:4" x14ac:dyDescent="0.3">
      <c r="D602" s="72"/>
    </row>
    <row r="603" spans="4:4" x14ac:dyDescent="0.3">
      <c r="D603" s="72"/>
    </row>
    <row r="604" spans="4:4" x14ac:dyDescent="0.3">
      <c r="D604" s="72"/>
    </row>
    <row r="605" spans="4:4" x14ac:dyDescent="0.3">
      <c r="D605" s="72"/>
    </row>
    <row r="606" spans="4:4" x14ac:dyDescent="0.3">
      <c r="D606" s="72"/>
    </row>
    <row r="607" spans="4:4" x14ac:dyDescent="0.3">
      <c r="D607" s="72"/>
    </row>
    <row r="608" spans="4:4" x14ac:dyDescent="0.3">
      <c r="D608" s="72"/>
    </row>
    <row r="609" spans="4:4" x14ac:dyDescent="0.3">
      <c r="D609" s="72"/>
    </row>
    <row r="610" spans="4:4" x14ac:dyDescent="0.3">
      <c r="D610" s="72"/>
    </row>
    <row r="611" spans="4:4" x14ac:dyDescent="0.3">
      <c r="D611" s="72"/>
    </row>
    <row r="612" spans="4:4" x14ac:dyDescent="0.3">
      <c r="D612" s="72"/>
    </row>
    <row r="613" spans="4:4" x14ac:dyDescent="0.3">
      <c r="D613" s="72"/>
    </row>
    <row r="614" spans="4:4" x14ac:dyDescent="0.3">
      <c r="D614" s="72"/>
    </row>
    <row r="615" spans="4:4" x14ac:dyDescent="0.3">
      <c r="D615" s="72"/>
    </row>
    <row r="616" spans="4:4" x14ac:dyDescent="0.3">
      <c r="D616" s="72"/>
    </row>
    <row r="617" spans="4:4" x14ac:dyDescent="0.3">
      <c r="D617" s="72"/>
    </row>
    <row r="618" spans="4:4" x14ac:dyDescent="0.3">
      <c r="D618" s="72"/>
    </row>
    <row r="619" spans="4:4" x14ac:dyDescent="0.3">
      <c r="D619" s="72"/>
    </row>
    <row r="620" spans="4:4" x14ac:dyDescent="0.3">
      <c r="D620" s="72"/>
    </row>
    <row r="621" spans="4:4" x14ac:dyDescent="0.3">
      <c r="D621" s="72"/>
    </row>
    <row r="622" spans="4:4" x14ac:dyDescent="0.3">
      <c r="D622" s="72"/>
    </row>
    <row r="623" spans="4:4" x14ac:dyDescent="0.3">
      <c r="D623" s="72"/>
    </row>
    <row r="624" spans="4:4" x14ac:dyDescent="0.3">
      <c r="D624" s="72"/>
    </row>
    <row r="625" spans="4:4" x14ac:dyDescent="0.3">
      <c r="D625" s="72"/>
    </row>
    <row r="626" spans="4:4" x14ac:dyDescent="0.3">
      <c r="D626" s="72"/>
    </row>
    <row r="627" spans="4:4" x14ac:dyDescent="0.3">
      <c r="D627" s="72"/>
    </row>
    <row r="628" spans="4:4" x14ac:dyDescent="0.3">
      <c r="D628" s="72"/>
    </row>
    <row r="629" spans="4:4" x14ac:dyDescent="0.3">
      <c r="D629" s="72"/>
    </row>
    <row r="630" spans="4:4" x14ac:dyDescent="0.3">
      <c r="D630" s="72"/>
    </row>
    <row r="631" spans="4:4" x14ac:dyDescent="0.3">
      <c r="D631" s="72"/>
    </row>
    <row r="632" spans="4:4" x14ac:dyDescent="0.3">
      <c r="D632" s="72"/>
    </row>
    <row r="633" spans="4:4" x14ac:dyDescent="0.3">
      <c r="D633" s="72"/>
    </row>
    <row r="634" spans="4:4" x14ac:dyDescent="0.3">
      <c r="D634" s="72"/>
    </row>
    <row r="635" spans="4:4" x14ac:dyDescent="0.3">
      <c r="D635" s="72"/>
    </row>
    <row r="636" spans="4:4" x14ac:dyDescent="0.3">
      <c r="D636" s="72"/>
    </row>
    <row r="637" spans="4:4" x14ac:dyDescent="0.3">
      <c r="D637" s="72"/>
    </row>
    <row r="638" spans="4:4" x14ac:dyDescent="0.3">
      <c r="D638" s="72"/>
    </row>
    <row r="639" spans="4:4" x14ac:dyDescent="0.3">
      <c r="D639" s="72"/>
    </row>
    <row r="640" spans="4:4" x14ac:dyDescent="0.3">
      <c r="D640" s="72"/>
    </row>
    <row r="641" spans="4:4" x14ac:dyDescent="0.3">
      <c r="D641" s="72"/>
    </row>
    <row r="642" spans="4:4" x14ac:dyDescent="0.3">
      <c r="D642" s="72"/>
    </row>
    <row r="643" spans="4:4" x14ac:dyDescent="0.3">
      <c r="D643" s="72"/>
    </row>
    <row r="644" spans="4:4" x14ac:dyDescent="0.3">
      <c r="D644" s="72"/>
    </row>
    <row r="645" spans="4:4" x14ac:dyDescent="0.3">
      <c r="D645" s="72"/>
    </row>
    <row r="646" spans="4:4" x14ac:dyDescent="0.3">
      <c r="D646" s="72"/>
    </row>
    <row r="647" spans="4:4" x14ac:dyDescent="0.3">
      <c r="D647" s="72"/>
    </row>
    <row r="648" spans="4:4" x14ac:dyDescent="0.3">
      <c r="D648" s="72"/>
    </row>
    <row r="649" spans="4:4" x14ac:dyDescent="0.3">
      <c r="D649" s="72"/>
    </row>
    <row r="650" spans="4:4" x14ac:dyDescent="0.3">
      <c r="D650" s="72"/>
    </row>
    <row r="651" spans="4:4" x14ac:dyDescent="0.3">
      <c r="D651" s="72"/>
    </row>
    <row r="652" spans="4:4" x14ac:dyDescent="0.3">
      <c r="D652" s="72"/>
    </row>
    <row r="653" spans="4:4" x14ac:dyDescent="0.3">
      <c r="D653" s="72"/>
    </row>
    <row r="654" spans="4:4" x14ac:dyDescent="0.3">
      <c r="D654" s="72"/>
    </row>
    <row r="655" spans="4:4" x14ac:dyDescent="0.3">
      <c r="D655" s="72"/>
    </row>
    <row r="656" spans="4:4" x14ac:dyDescent="0.3">
      <c r="D656" s="72"/>
    </row>
    <row r="657" spans="4:4" x14ac:dyDescent="0.3">
      <c r="D657" s="72"/>
    </row>
    <row r="658" spans="4:4" x14ac:dyDescent="0.3">
      <c r="D658" s="72"/>
    </row>
    <row r="659" spans="4:4" x14ac:dyDescent="0.3">
      <c r="D659" s="72"/>
    </row>
    <row r="660" spans="4:4" x14ac:dyDescent="0.3">
      <c r="D660" s="72"/>
    </row>
    <row r="661" spans="4:4" x14ac:dyDescent="0.3">
      <c r="D661" s="72"/>
    </row>
    <row r="662" spans="4:4" x14ac:dyDescent="0.3">
      <c r="D662" s="72"/>
    </row>
    <row r="663" spans="4:4" x14ac:dyDescent="0.3">
      <c r="D663" s="72"/>
    </row>
    <row r="664" spans="4:4" x14ac:dyDescent="0.3">
      <c r="D664" s="72"/>
    </row>
    <row r="665" spans="4:4" x14ac:dyDescent="0.3">
      <c r="D665" s="72"/>
    </row>
    <row r="666" spans="4:4" x14ac:dyDescent="0.3">
      <c r="D666" s="72"/>
    </row>
    <row r="667" spans="4:4" x14ac:dyDescent="0.3">
      <c r="D667" s="72"/>
    </row>
    <row r="668" spans="4:4" x14ac:dyDescent="0.3">
      <c r="D668" s="72"/>
    </row>
    <row r="669" spans="4:4" x14ac:dyDescent="0.3">
      <c r="D669" s="72"/>
    </row>
    <row r="670" spans="4:4" x14ac:dyDescent="0.3">
      <c r="D670" s="72"/>
    </row>
    <row r="671" spans="4:4" x14ac:dyDescent="0.3">
      <c r="D671" s="72"/>
    </row>
    <row r="672" spans="4:4" x14ac:dyDescent="0.3">
      <c r="D672" s="72"/>
    </row>
    <row r="673" spans="4:4" x14ac:dyDescent="0.3">
      <c r="D673" s="72"/>
    </row>
    <row r="674" spans="4:4" x14ac:dyDescent="0.3">
      <c r="D674" s="72"/>
    </row>
    <row r="675" spans="4:4" x14ac:dyDescent="0.3">
      <c r="D675" s="72"/>
    </row>
    <row r="676" spans="4:4" x14ac:dyDescent="0.3">
      <c r="D676" s="72"/>
    </row>
    <row r="677" spans="4:4" x14ac:dyDescent="0.3">
      <c r="D677" s="72"/>
    </row>
    <row r="678" spans="4:4" x14ac:dyDescent="0.3">
      <c r="D678" s="72"/>
    </row>
    <row r="679" spans="4:4" x14ac:dyDescent="0.3">
      <c r="D679" s="72"/>
    </row>
    <row r="680" spans="4:4" x14ac:dyDescent="0.3">
      <c r="D680" s="72"/>
    </row>
    <row r="681" spans="4:4" x14ac:dyDescent="0.3">
      <c r="D681" s="72"/>
    </row>
    <row r="682" spans="4:4" x14ac:dyDescent="0.3">
      <c r="D682" s="72"/>
    </row>
    <row r="683" spans="4:4" x14ac:dyDescent="0.3">
      <c r="D683" s="72"/>
    </row>
    <row r="684" spans="4:4" x14ac:dyDescent="0.3">
      <c r="D684" s="72"/>
    </row>
    <row r="685" spans="4:4" x14ac:dyDescent="0.3">
      <c r="D685" s="72"/>
    </row>
    <row r="686" spans="4:4" x14ac:dyDescent="0.3">
      <c r="D686" s="72"/>
    </row>
    <row r="687" spans="4:4" x14ac:dyDescent="0.3">
      <c r="D687" s="72"/>
    </row>
    <row r="688" spans="4:4" x14ac:dyDescent="0.3">
      <c r="D688" s="72"/>
    </row>
    <row r="689" spans="4:4" x14ac:dyDescent="0.3">
      <c r="D689" s="72"/>
    </row>
    <row r="690" spans="4:4" x14ac:dyDescent="0.3">
      <c r="D690" s="72"/>
    </row>
    <row r="691" spans="4:4" x14ac:dyDescent="0.3">
      <c r="D691" s="72"/>
    </row>
    <row r="692" spans="4:4" x14ac:dyDescent="0.3">
      <c r="D692" s="72"/>
    </row>
    <row r="693" spans="4:4" x14ac:dyDescent="0.3">
      <c r="D693" s="72"/>
    </row>
    <row r="694" spans="4:4" x14ac:dyDescent="0.3">
      <c r="D694" s="72"/>
    </row>
    <row r="695" spans="4:4" x14ac:dyDescent="0.3">
      <c r="D695" s="72"/>
    </row>
    <row r="696" spans="4:4" x14ac:dyDescent="0.3">
      <c r="D696" s="72"/>
    </row>
    <row r="697" spans="4:4" x14ac:dyDescent="0.3">
      <c r="D697" s="72"/>
    </row>
    <row r="698" spans="4:4" x14ac:dyDescent="0.3">
      <c r="D698" s="72"/>
    </row>
    <row r="699" spans="4:4" x14ac:dyDescent="0.3">
      <c r="D699" s="72"/>
    </row>
    <row r="700" spans="4:4" x14ac:dyDescent="0.3">
      <c r="D700" s="72"/>
    </row>
    <row r="701" spans="4:4" x14ac:dyDescent="0.3">
      <c r="D701" s="72"/>
    </row>
    <row r="702" spans="4:4" x14ac:dyDescent="0.3">
      <c r="D702" s="72"/>
    </row>
    <row r="703" spans="4:4" x14ac:dyDescent="0.3">
      <c r="D703" s="72"/>
    </row>
    <row r="704" spans="4:4" x14ac:dyDescent="0.3">
      <c r="D704" s="72"/>
    </row>
    <row r="705" spans="4:4" x14ac:dyDescent="0.3">
      <c r="D705" s="72"/>
    </row>
    <row r="706" spans="4:4" x14ac:dyDescent="0.3">
      <c r="D706" s="72"/>
    </row>
    <row r="707" spans="4:4" x14ac:dyDescent="0.3">
      <c r="D707" s="72"/>
    </row>
    <row r="708" spans="4:4" x14ac:dyDescent="0.3">
      <c r="D708" s="72"/>
    </row>
    <row r="709" spans="4:4" x14ac:dyDescent="0.3">
      <c r="D709" s="72"/>
    </row>
    <row r="710" spans="4:4" x14ac:dyDescent="0.3">
      <c r="D710" s="72"/>
    </row>
    <row r="711" spans="4:4" x14ac:dyDescent="0.3">
      <c r="D711" s="72"/>
    </row>
    <row r="712" spans="4:4" x14ac:dyDescent="0.3">
      <c r="D712" s="72"/>
    </row>
    <row r="713" spans="4:4" x14ac:dyDescent="0.3">
      <c r="D713" s="72"/>
    </row>
    <row r="714" spans="4:4" x14ac:dyDescent="0.3">
      <c r="D714" s="72"/>
    </row>
  </sheetData>
  <sheetProtection formatCells="0" formatColumns="0" formatRows="0"/>
  <conditionalFormatting sqref="G33 G68:G69">
    <cfRule type="cellIs" dxfId="35" priority="93" stopIfTrue="1" operator="notEqual">
      <formula>0</formula>
    </cfRule>
  </conditionalFormatting>
  <conditionalFormatting sqref="G34">
    <cfRule type="cellIs" dxfId="34" priority="92" stopIfTrue="1" operator="notEqual">
      <formula>0</formula>
    </cfRule>
  </conditionalFormatting>
  <conditionalFormatting sqref="G51">
    <cfRule type="cellIs" dxfId="33" priority="91" stopIfTrue="1" operator="notEqual">
      <formula>0</formula>
    </cfRule>
  </conditionalFormatting>
  <conditionalFormatting sqref="G67">
    <cfRule type="cellIs" dxfId="32" priority="90" stopIfTrue="1" operator="notEqual">
      <formula>0</formula>
    </cfRule>
  </conditionalFormatting>
  <conditionalFormatting sqref="G89">
    <cfRule type="cellIs" dxfId="31" priority="88" stopIfTrue="1" operator="notEqual">
      <formula>0</formula>
    </cfRule>
  </conditionalFormatting>
  <conditionalFormatting sqref="G107">
    <cfRule type="cellIs" dxfId="30" priority="87" stopIfTrue="1" operator="notEqual">
      <formula>0</formula>
    </cfRule>
  </conditionalFormatting>
  <conditionalFormatting sqref="G120">
    <cfRule type="cellIs" dxfId="29" priority="86" stopIfTrue="1" operator="notEqual">
      <formula>0</formula>
    </cfRule>
  </conditionalFormatting>
  <conditionalFormatting sqref="G121">
    <cfRule type="cellIs" dxfId="28" priority="85" stopIfTrue="1" operator="notEqual">
      <formula>0</formula>
    </cfRule>
  </conditionalFormatting>
  <conditionalFormatting sqref="G136">
    <cfRule type="cellIs" dxfId="27" priority="84" stopIfTrue="1" operator="notEqual">
      <formula>0</formula>
    </cfRule>
  </conditionalFormatting>
  <conditionalFormatting sqref="G137">
    <cfRule type="cellIs" dxfId="26" priority="83" stopIfTrue="1" operator="notEqual">
      <formula>0</formula>
    </cfRule>
  </conditionalFormatting>
  <conditionalFormatting sqref="H203:H205">
    <cfRule type="cellIs" priority="79" stopIfTrue="1" operator="equal">
      <formula>";;;"</formula>
    </cfRule>
  </conditionalFormatting>
  <conditionalFormatting sqref="H203">
    <cfRule type="cellIs" dxfId="25" priority="78" stopIfTrue="1" operator="equal">
      <formula>0</formula>
    </cfRule>
  </conditionalFormatting>
  <conditionalFormatting sqref="H204">
    <cfRule type="cellIs" dxfId="24" priority="77" stopIfTrue="1" operator="equal">
      <formula>0</formula>
    </cfRule>
  </conditionalFormatting>
  <conditionalFormatting sqref="H205">
    <cfRule type="cellIs" dxfId="23" priority="76" stopIfTrue="1" operator="equal">
      <formula>0</formula>
    </cfRule>
  </conditionalFormatting>
  <conditionalFormatting sqref="H205">
    <cfRule type="cellIs" dxfId="22" priority="75" stopIfTrue="1" operator="equal">
      <formula>0</formula>
    </cfRule>
  </conditionalFormatting>
  <conditionalFormatting sqref="H203">
    <cfRule type="cellIs" dxfId="21" priority="74" stopIfTrue="1" operator="equal">
      <formula>0</formula>
    </cfRule>
  </conditionalFormatting>
  <conditionalFormatting sqref="G21">
    <cfRule type="cellIs" dxfId="20" priority="73" stopIfTrue="1" operator="notEqual">
      <formula>0</formula>
    </cfRule>
  </conditionalFormatting>
  <conditionalFormatting sqref="G7">
    <cfRule type="containsText" dxfId="19" priority="71" stopIfTrue="1" operator="containsText" text="Included in error count">
      <formula>NOT(ISERROR(SEARCH("Included in error count",G7)))</formula>
    </cfRule>
    <cfRule type="cellIs" dxfId="18" priority="72" stopIfTrue="1" operator="equal">
      <formula>1</formula>
    </cfRule>
  </conditionalFormatting>
  <conditionalFormatting sqref="G41">
    <cfRule type="containsText" dxfId="17" priority="69" stopIfTrue="1" operator="containsText" text="Included in error count">
      <formula>NOT(ISERROR(SEARCH("Included in error count",G41)))</formula>
    </cfRule>
    <cfRule type="cellIs" dxfId="16" priority="70" stopIfTrue="1" operator="equal">
      <formula>1</formula>
    </cfRule>
  </conditionalFormatting>
  <conditionalFormatting sqref="G76:G77">
    <cfRule type="containsText" dxfId="15" priority="67" stopIfTrue="1" operator="containsText" text="Included in error count">
      <formula>NOT(ISERROR(SEARCH("Included in error count",G76)))</formula>
    </cfRule>
    <cfRule type="cellIs" dxfId="14" priority="68" stopIfTrue="1" operator="equal">
      <formula>1</formula>
    </cfRule>
  </conditionalFormatting>
  <conditionalFormatting sqref="G78">
    <cfRule type="containsText" dxfId="13" priority="65" stopIfTrue="1" operator="containsText" text="Included in error count">
      <formula>NOT(ISERROR(SEARCH("Included in error count",G78)))</formula>
    </cfRule>
    <cfRule type="cellIs" dxfId="12" priority="66" stopIfTrue="1" operator="equal">
      <formula>1</formula>
    </cfRule>
  </conditionalFormatting>
  <conditionalFormatting sqref="G87">
    <cfRule type="containsText" dxfId="11" priority="61" stopIfTrue="1" operator="containsText" text="Included in error count">
      <formula>NOT(ISERROR(SEARCH("Included in error count",G87)))</formula>
    </cfRule>
    <cfRule type="cellIs" dxfId="10" priority="62" stopIfTrue="1" operator="equal">
      <formula>1</formula>
    </cfRule>
  </conditionalFormatting>
  <conditionalFormatting sqref="G109">
    <cfRule type="containsText" dxfId="9" priority="57" stopIfTrue="1" operator="containsText" text="Included in error count">
      <formula>NOT(ISERROR(SEARCH("Included in error count",G109)))</formula>
    </cfRule>
    <cfRule type="cellIs" dxfId="8" priority="58" stopIfTrue="1" operator="equal">
      <formula>1</formula>
    </cfRule>
  </conditionalFormatting>
  <conditionalFormatting sqref="G203">
    <cfRule type="containsText" dxfId="7" priority="46" stopIfTrue="1" operator="containsText" text="Included in error count">
      <formula>NOT(ISERROR(SEARCH("Included in error count",G203)))</formula>
    </cfRule>
    <cfRule type="cellIs" dxfId="6" priority="47" stopIfTrue="1" operator="equal">
      <formula>1</formula>
    </cfRule>
  </conditionalFormatting>
  <conditionalFormatting sqref="G204">
    <cfRule type="containsText" dxfId="5" priority="44" stopIfTrue="1" operator="containsText" text="Included in error count">
      <formula>NOT(ISERROR(SEARCH("Included in error count",G204)))</formula>
    </cfRule>
    <cfRule type="cellIs" dxfId="4" priority="45" stopIfTrue="1" operator="equal">
      <formula>1</formula>
    </cfRule>
  </conditionalFormatting>
  <conditionalFormatting sqref="G205">
    <cfRule type="containsText" dxfId="3" priority="42" stopIfTrue="1" operator="containsText" text="Included in error count">
      <formula>NOT(ISERROR(SEARCH("Included in error count",G205)))</formula>
    </cfRule>
    <cfRule type="cellIs" dxfId="2" priority="43" stopIfTrue="1" operator="equal">
      <formula>1</formula>
    </cfRule>
  </conditionalFormatting>
  <conditionalFormatting sqref="G125">
    <cfRule type="containsText" dxfId="1" priority="40" stopIfTrue="1" operator="containsText" text="Included in error count">
      <formula>NOT(ISERROR(SEARCH("Included in error count",G125)))</formula>
    </cfRule>
    <cfRule type="cellIs" dxfId="0"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F2351-DC4A-4941-82DA-8C63291B538C}">
  <sheetPr codeName="Sheet7">
    <pageSetUpPr fitToPage="1"/>
  </sheetPr>
  <dimension ref="B1:R32"/>
  <sheetViews>
    <sheetView showGridLines="0" zoomScaleNormal="100" workbookViewId="0">
      <selection activeCell="B2" sqref="B2:D2"/>
    </sheetView>
  </sheetViews>
  <sheetFormatPr defaultColWidth="9.109375" defaultRowHeight="14.4" x14ac:dyDescent="0.3"/>
  <cols>
    <col min="1" max="1" width="2" style="180" customWidth="1"/>
    <col min="2" max="2" width="96.33203125" style="180" customWidth="1"/>
    <col min="3" max="3" width="2" style="180" customWidth="1"/>
    <col min="4" max="4" width="17.6640625" style="180" customWidth="1"/>
    <col min="5" max="5" width="9.33203125" style="180" customWidth="1"/>
    <col min="6" max="6" width="14.109375" style="155" customWidth="1"/>
    <col min="7" max="7" width="50.44140625" style="524" customWidth="1"/>
    <col min="8" max="8" width="44.33203125" style="180" customWidth="1"/>
    <col min="9" max="9" width="9.109375" style="180"/>
    <col min="10" max="10" width="36.6640625" style="180" customWidth="1"/>
    <col min="11" max="12" width="28.88671875" style="180" customWidth="1"/>
    <col min="13" max="13" width="9.109375" style="180"/>
    <col min="14" max="14" width="16.6640625" style="180" customWidth="1"/>
    <col min="15" max="15" width="22.5546875" style="180" customWidth="1"/>
    <col min="16" max="16" width="23.44140625" style="180" customWidth="1"/>
    <col min="17" max="17" width="9.109375" style="180"/>
    <col min="18" max="18" width="26.33203125" style="180" customWidth="1"/>
    <col min="19" max="16384" width="9.109375" style="180"/>
  </cols>
  <sheetData>
    <row r="1" spans="2:8" ht="42.6" customHeight="1" x14ac:dyDescent="0.35">
      <c r="B1" s="698" t="s">
        <v>1521</v>
      </c>
      <c r="C1" s="698"/>
      <c r="D1" s="698"/>
    </row>
    <row r="2" spans="2:8" ht="27" customHeight="1" x14ac:dyDescent="0.3">
      <c r="B2" s="1164"/>
      <c r="C2" s="1164"/>
      <c r="D2" s="1164"/>
    </row>
    <row r="3" spans="2:8" ht="26.4" customHeight="1" x14ac:dyDescent="0.35">
      <c r="B3" s="687" t="str">
        <f>'Unit Data from Audit Worksheet'!D2</f>
        <v>Select Unit Name from Drop Down List</v>
      </c>
      <c r="C3" s="564"/>
      <c r="D3" s="688">
        <v>2024</v>
      </c>
      <c r="F3" s="701" t="s">
        <v>1522</v>
      </c>
      <c r="G3" s="702" t="s">
        <v>41</v>
      </c>
    </row>
    <row r="4" spans="2:8" ht="18.600000000000001" customHeight="1" x14ac:dyDescent="0.3">
      <c r="B4" s="689" t="s">
        <v>71</v>
      </c>
      <c r="C4" s="263"/>
    </row>
    <row r="5" spans="2:8" ht="19.2" customHeight="1" x14ac:dyDescent="0.3">
      <c r="B5" s="600" t="s">
        <v>1500</v>
      </c>
      <c r="C5" s="600"/>
      <c r="D5" s="266"/>
    </row>
    <row r="6" spans="2:8" ht="19.95" customHeight="1" x14ac:dyDescent="0.3">
      <c r="B6" s="675" t="s">
        <v>1516</v>
      </c>
      <c r="C6" s="675"/>
      <c r="D6" s="691">
        <f>Import!L38</f>
        <v>0</v>
      </c>
      <c r="F6" s="671">
        <v>506</v>
      </c>
      <c r="G6" s="524" t="s">
        <v>189</v>
      </c>
    </row>
    <row r="7" spans="2:8" ht="19.95" customHeight="1" x14ac:dyDescent="0.3">
      <c r="B7" s="675" t="s">
        <v>1501</v>
      </c>
      <c r="C7" s="675"/>
      <c r="D7" s="692">
        <f>Import!L39</f>
        <v>0</v>
      </c>
      <c r="F7" s="671">
        <v>536</v>
      </c>
      <c r="G7" s="524" t="s">
        <v>190</v>
      </c>
    </row>
    <row r="8" spans="2:8" ht="19.95" customHeight="1" x14ac:dyDescent="0.3">
      <c r="B8" s="675" t="s">
        <v>1502</v>
      </c>
      <c r="C8" s="675"/>
      <c r="D8" s="692">
        <f>Import!L69</f>
        <v>0</v>
      </c>
      <c r="F8" s="557">
        <v>647</v>
      </c>
      <c r="G8" s="617" t="s">
        <v>792</v>
      </c>
    </row>
    <row r="9" spans="2:8" ht="19.95" customHeight="1" x14ac:dyDescent="0.3">
      <c r="B9" s="681" t="s">
        <v>1520</v>
      </c>
      <c r="C9" s="682"/>
      <c r="D9" s="692">
        <f>-Import!L48</f>
        <v>0</v>
      </c>
      <c r="F9" s="683">
        <v>11</v>
      </c>
      <c r="G9" s="684" t="s">
        <v>194</v>
      </c>
    </row>
    <row r="10" spans="2:8" ht="19.95" customHeight="1" x14ac:dyDescent="0.3">
      <c r="B10" s="601" t="s">
        <v>1419</v>
      </c>
      <c r="C10" s="601"/>
      <c r="D10" s="693"/>
    </row>
    <row r="11" spans="2:8" ht="19.95" customHeight="1" x14ac:dyDescent="0.3">
      <c r="B11" s="675" t="s">
        <v>1503</v>
      </c>
      <c r="C11" s="675"/>
      <c r="D11" s="694">
        <f>Import!L43</f>
        <v>0</v>
      </c>
      <c r="F11" s="155">
        <v>4</v>
      </c>
      <c r="G11" s="524" t="s">
        <v>1504</v>
      </c>
    </row>
    <row r="12" spans="2:8" ht="19.95" customHeight="1" x14ac:dyDescent="0.3">
      <c r="B12" s="675" t="s">
        <v>1420</v>
      </c>
      <c r="C12" s="675"/>
      <c r="D12" s="694">
        <f>Import!L196</f>
        <v>0</v>
      </c>
      <c r="F12" s="155">
        <v>6</v>
      </c>
      <c r="G12" s="524" t="s">
        <v>251</v>
      </c>
    </row>
    <row r="13" spans="2:8" ht="19.95" customHeight="1" x14ac:dyDescent="0.3">
      <c r="B13" s="675" t="s">
        <v>1505</v>
      </c>
      <c r="C13" s="675"/>
      <c r="D13" s="695">
        <f>Import!L44</f>
        <v>0</v>
      </c>
      <c r="F13" s="155">
        <v>5</v>
      </c>
      <c r="G13" s="524" t="s">
        <v>1506</v>
      </c>
    </row>
    <row r="14" spans="2:8" ht="24.6" customHeight="1" thickBot="1" x14ac:dyDescent="0.35">
      <c r="B14" s="676" t="s">
        <v>1518</v>
      </c>
      <c r="C14" s="675"/>
      <c r="D14" s="699">
        <f>SUM(D6:D9)-SUM(D11:D13)</f>
        <v>0</v>
      </c>
      <c r="E14" s="677"/>
      <c r="F14" s="155" t="s">
        <v>1492</v>
      </c>
      <c r="G14" s="685" t="s">
        <v>1877</v>
      </c>
      <c r="H14" s="714"/>
    </row>
    <row r="15" spans="2:8" ht="19.95" customHeight="1" thickTop="1" x14ac:dyDescent="0.3">
      <c r="B15" s="19"/>
      <c r="C15" s="19"/>
      <c r="D15" s="603"/>
    </row>
    <row r="16" spans="2:8" ht="19.95" customHeight="1" x14ac:dyDescent="0.3">
      <c r="B16" s="600"/>
      <c r="C16" s="600"/>
      <c r="D16" s="604"/>
    </row>
    <row r="17" spans="2:18" ht="19.95" customHeight="1" x14ac:dyDescent="0.3">
      <c r="B17" s="19" t="s">
        <v>1421</v>
      </c>
      <c r="C17" s="19"/>
      <c r="D17" s="266"/>
    </row>
    <row r="18" spans="2:18" ht="19.95" customHeight="1" x14ac:dyDescent="0.3">
      <c r="B18" s="675" t="s">
        <v>1507</v>
      </c>
      <c r="C18" s="675"/>
      <c r="D18" s="696">
        <f>Import!L59</f>
        <v>0</v>
      </c>
      <c r="F18" s="155">
        <v>532</v>
      </c>
      <c r="G18" s="524" t="s">
        <v>887</v>
      </c>
    </row>
    <row r="19" spans="2:18" ht="13.95" customHeight="1" x14ac:dyDescent="0.3">
      <c r="C19" s="19"/>
      <c r="D19" s="694"/>
    </row>
    <row r="20" spans="2:18" ht="16.95" customHeight="1" x14ac:dyDescent="0.3">
      <c r="B20" s="19" t="s">
        <v>1422</v>
      </c>
      <c r="C20" s="19"/>
      <c r="D20" s="694"/>
    </row>
    <row r="21" spans="2:18" ht="19.95" customHeight="1" x14ac:dyDescent="0.3">
      <c r="B21" s="675" t="s">
        <v>1508</v>
      </c>
      <c r="C21" s="675"/>
      <c r="D21" s="697">
        <f>Import!L62</f>
        <v>0</v>
      </c>
      <c r="F21" s="155">
        <v>20</v>
      </c>
      <c r="G21" s="524" t="s">
        <v>1509</v>
      </c>
    </row>
    <row r="22" spans="2:18" ht="33.6" customHeight="1" x14ac:dyDescent="0.3">
      <c r="B22" s="675" t="s">
        <v>1510</v>
      </c>
      <c r="C22" s="675"/>
      <c r="D22" s="694">
        <f>Import!L65</f>
        <v>0</v>
      </c>
      <c r="F22" s="155">
        <v>509</v>
      </c>
      <c r="G22" s="524" t="s">
        <v>288</v>
      </c>
    </row>
    <row r="23" spans="2:18" ht="28.95" customHeight="1" x14ac:dyDescent="0.3">
      <c r="B23" s="675" t="s">
        <v>1511</v>
      </c>
      <c r="C23" s="675"/>
      <c r="D23" s="697">
        <f>Import!L63</f>
        <v>0</v>
      </c>
      <c r="F23" s="155">
        <v>533</v>
      </c>
      <c r="G23" s="524" t="s">
        <v>888</v>
      </c>
    </row>
    <row r="24" spans="2:18" ht="38.4" customHeight="1" x14ac:dyDescent="0.3">
      <c r="B24" s="675" t="s">
        <v>1512</v>
      </c>
      <c r="C24" s="675"/>
      <c r="D24" s="697">
        <f>Import!L64</f>
        <v>0</v>
      </c>
      <c r="F24" s="155">
        <v>508</v>
      </c>
      <c r="G24" s="524" t="s">
        <v>290</v>
      </c>
    </row>
    <row r="25" spans="2:18" ht="39" customHeight="1" x14ac:dyDescent="0.3">
      <c r="B25" s="681" t="s">
        <v>1517</v>
      </c>
      <c r="C25" s="675"/>
      <c r="D25" s="713">
        <f>Import!L60</f>
        <v>0</v>
      </c>
      <c r="F25" s="683">
        <v>1050</v>
      </c>
      <c r="G25" s="690" t="s">
        <v>1435</v>
      </c>
    </row>
    <row r="26" spans="2:18" ht="25.95" customHeight="1" thickBot="1" x14ac:dyDescent="0.35">
      <c r="B26" s="676" t="s">
        <v>1513</v>
      </c>
      <c r="C26" s="678"/>
      <c r="D26" s="700">
        <f>D18+D21+D22-D23-D24-D25</f>
        <v>0</v>
      </c>
      <c r="F26" s="155" t="s">
        <v>1492</v>
      </c>
      <c r="G26" s="685" t="s">
        <v>1519</v>
      </c>
    </row>
    <row r="27" spans="2:18" ht="19.95" customHeight="1" thickTop="1" x14ac:dyDescent="0.3">
      <c r="B27" s="266"/>
      <c r="C27" s="266"/>
      <c r="D27" s="266"/>
    </row>
    <row r="28" spans="2:18" s="525" customFormat="1" ht="40.950000000000003" customHeight="1" thickBot="1" x14ac:dyDescent="0.35">
      <c r="B28" s="676" t="s">
        <v>1514</v>
      </c>
      <c r="C28" s="678"/>
      <c r="D28" s="605" t="e">
        <f>D14/D26</f>
        <v>#DIV/0!</v>
      </c>
      <c r="F28" s="155" t="s">
        <v>1492</v>
      </c>
      <c r="G28" s="686" t="s">
        <v>1515</v>
      </c>
      <c r="I28" s="180"/>
      <c r="J28" s="180"/>
      <c r="K28" s="180"/>
      <c r="L28" s="180"/>
      <c r="M28" s="180"/>
      <c r="N28" s="180"/>
      <c r="O28" s="180"/>
      <c r="P28" s="180"/>
      <c r="Q28" s="180"/>
      <c r="R28" s="180"/>
    </row>
    <row r="29" spans="2:18" s="525" customFormat="1" ht="15" thickTop="1" x14ac:dyDescent="0.3">
      <c r="B29" s="601"/>
      <c r="C29" s="601"/>
      <c r="D29" s="679"/>
      <c r="F29" s="155"/>
      <c r="G29" s="686"/>
      <c r="I29" s="180"/>
      <c r="J29" s="180"/>
      <c r="K29" s="180"/>
      <c r="L29" s="180"/>
      <c r="M29" s="180"/>
      <c r="N29" s="180"/>
      <c r="O29" s="180"/>
      <c r="P29" s="180"/>
      <c r="Q29" s="180"/>
      <c r="R29" s="180"/>
    </row>
    <row r="30" spans="2:18" s="525" customFormat="1" x14ac:dyDescent="0.3">
      <c r="B30" s="601"/>
      <c r="C30" s="601"/>
      <c r="D30" s="679"/>
      <c r="F30" s="155"/>
      <c r="G30" s="686"/>
      <c r="I30" s="180"/>
      <c r="J30" s="180"/>
      <c r="K30" s="180"/>
      <c r="L30" s="180"/>
      <c r="M30" s="180"/>
      <c r="N30" s="180"/>
      <c r="O30" s="180"/>
      <c r="P30" s="180"/>
      <c r="Q30" s="180"/>
      <c r="R30" s="180"/>
    </row>
    <row r="31" spans="2:18" s="525" customFormat="1" x14ac:dyDescent="0.3">
      <c r="B31" s="680"/>
      <c r="C31" s="680"/>
      <c r="D31" s="679"/>
      <c r="F31" s="155"/>
      <c r="G31" s="686"/>
      <c r="I31" s="180"/>
      <c r="J31" s="180"/>
      <c r="K31" s="180"/>
      <c r="L31" s="180"/>
      <c r="M31" s="180"/>
      <c r="N31" s="180"/>
      <c r="O31" s="180"/>
      <c r="P31" s="180"/>
      <c r="Q31" s="180"/>
      <c r="R31" s="180"/>
    </row>
    <row r="32" spans="2:18" x14ac:dyDescent="0.3">
      <c r="B32" s="577"/>
      <c r="C32" s="577"/>
      <c r="D32" s="602"/>
    </row>
  </sheetData>
  <sheetProtection algorithmName="SHA-512" hashValue="7P8Ak6NvN9rweevc0IGXjIzY530/Bm4pWul+aASASZzPXDNpQdFIUPrQIW8O/Nj6xf3KyosPjW2d9lT7rseypg==" saltValue="gArMGXj2mAbCcw7mRFThjQ==" spinCount="100000" sheet="1" formatCells="0" formatColumns="0" formatRows="0"/>
  <mergeCells count="1">
    <mergeCell ref="B2:D2"/>
  </mergeCells>
  <pageMargins left="0.7" right="0.7" top="0.75" bottom="0.75" header="0.3" footer="0.3"/>
  <pageSetup scale="3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6C0C6-2C11-4A6E-9750-DEA167FE6AF6}">
  <sheetPr codeName="Sheet14">
    <pageSetUpPr fitToPage="1"/>
  </sheetPr>
  <dimension ref="A2:K43"/>
  <sheetViews>
    <sheetView workbookViewId="0">
      <selection activeCell="B3" sqref="B3"/>
    </sheetView>
  </sheetViews>
  <sheetFormatPr defaultColWidth="9.109375" defaultRowHeight="14.4" x14ac:dyDescent="0.3"/>
  <cols>
    <col min="1" max="1" width="4.6640625" style="180" customWidth="1"/>
    <col min="2" max="2" width="77.33203125" style="180" customWidth="1"/>
    <col min="3" max="3" width="20.33203125" style="180" customWidth="1"/>
    <col min="4" max="4" width="3.6640625" style="180" customWidth="1"/>
    <col min="5" max="5" width="20.33203125" style="180" customWidth="1"/>
    <col min="6" max="6" width="6.33203125" style="180" customWidth="1"/>
    <col min="7" max="7" width="17.33203125" style="180" customWidth="1"/>
    <col min="8" max="8" width="34.6640625" style="180" customWidth="1"/>
    <col min="9" max="9" width="17.109375" style="155" customWidth="1"/>
    <col min="10" max="10" width="21.109375" style="180" customWidth="1"/>
    <col min="11" max="11" width="18.33203125" style="180" customWidth="1"/>
    <col min="12" max="12" width="19.88671875" style="180" customWidth="1"/>
    <col min="13" max="13" width="17.6640625" style="180" customWidth="1"/>
    <col min="14" max="16384" width="9.109375" style="180"/>
  </cols>
  <sheetData>
    <row r="2" spans="1:11" ht="14.4" customHeight="1" x14ac:dyDescent="0.3">
      <c r="B2" s="1165" t="s">
        <v>104</v>
      </c>
      <c r="C2" s="1165"/>
      <c r="D2" s="1165"/>
      <c r="E2" s="1165"/>
      <c r="F2" s="599"/>
      <c r="G2" s="259"/>
    </row>
    <row r="4" spans="1:11" ht="15.6" x14ac:dyDescent="0.3">
      <c r="A4" s="259"/>
      <c r="B4" s="260" t="str">
        <f>'Unit Data from Audit Worksheet'!D2</f>
        <v>Select Unit Name from Drop Down List</v>
      </c>
      <c r="C4" s="673">
        <f>'Unit Data from Audit Worksheet'!F5</f>
        <v>2024</v>
      </c>
      <c r="E4" s="663">
        <f>'Unit Data from Audit Worksheet'!F5</f>
        <v>2024</v>
      </c>
    </row>
    <row r="5" spans="1:11" ht="27.6" x14ac:dyDescent="0.4">
      <c r="A5" s="262"/>
      <c r="B5" s="263" t="s">
        <v>71</v>
      </c>
      <c r="C5" s="261" t="s">
        <v>72</v>
      </c>
      <c r="D5" s="262"/>
      <c r="E5" s="264" t="s">
        <v>73</v>
      </c>
      <c r="G5" s="155"/>
      <c r="I5" s="180"/>
    </row>
    <row r="6" spans="1:11" x14ac:dyDescent="0.3">
      <c r="A6" s="259"/>
      <c r="B6" s="265" t="s">
        <v>74</v>
      </c>
      <c r="C6" s="266"/>
      <c r="D6" s="266"/>
      <c r="E6" s="266"/>
      <c r="G6" s="155"/>
      <c r="I6" s="180"/>
    </row>
    <row r="7" spans="1:11" x14ac:dyDescent="0.3">
      <c r="A7" s="259"/>
      <c r="B7" s="664" t="s">
        <v>1489</v>
      </c>
      <c r="C7" s="691">
        <f>Import!L38</f>
        <v>0</v>
      </c>
      <c r="D7" s="267"/>
      <c r="E7" s="691">
        <f>C7</f>
        <v>0</v>
      </c>
      <c r="G7" s="665">
        <v>506</v>
      </c>
      <c r="H7" s="666" t="s">
        <v>189</v>
      </c>
      <c r="I7" s="180"/>
    </row>
    <row r="8" spans="1:11" x14ac:dyDescent="0.3">
      <c r="A8" s="259"/>
      <c r="B8" s="664" t="s">
        <v>1490</v>
      </c>
      <c r="C8" s="693">
        <f>Import!L39</f>
        <v>0</v>
      </c>
      <c r="D8" s="268"/>
      <c r="E8" s="268"/>
      <c r="G8" s="665">
        <v>536</v>
      </c>
      <c r="H8" s="666" t="s">
        <v>190</v>
      </c>
      <c r="I8" s="180"/>
    </row>
    <row r="9" spans="1:11" x14ac:dyDescent="0.3">
      <c r="A9" s="259"/>
      <c r="B9" s="664" t="s">
        <v>173</v>
      </c>
      <c r="C9" s="728">
        <f>Import!L43</f>
        <v>0</v>
      </c>
      <c r="D9" s="268"/>
      <c r="E9" s="728">
        <f>C9</f>
        <v>0</v>
      </c>
      <c r="G9" s="665">
        <v>4</v>
      </c>
      <c r="H9" s="666" t="s">
        <v>111</v>
      </c>
      <c r="I9" s="180"/>
    </row>
    <row r="10" spans="1:11" x14ac:dyDescent="0.3">
      <c r="A10" s="259"/>
      <c r="B10" s="664" t="s">
        <v>75</v>
      </c>
      <c r="C10" s="694">
        <f>Import!L196</f>
        <v>0</v>
      </c>
      <c r="D10" s="268"/>
      <c r="E10" s="728">
        <f>C10</f>
        <v>0</v>
      </c>
      <c r="G10" s="665">
        <v>6</v>
      </c>
      <c r="H10" s="666" t="s">
        <v>251</v>
      </c>
      <c r="I10" s="180"/>
    </row>
    <row r="11" spans="1:11" x14ac:dyDescent="0.3">
      <c r="A11" s="259"/>
      <c r="B11" s="664" t="s">
        <v>76</v>
      </c>
      <c r="C11" s="695">
        <f>Import!L44</f>
        <v>0</v>
      </c>
      <c r="D11" s="269"/>
      <c r="E11" s="728">
        <f>C11</f>
        <v>0</v>
      </c>
      <c r="G11" s="665">
        <v>5</v>
      </c>
      <c r="H11" s="666" t="s">
        <v>112</v>
      </c>
      <c r="I11" s="180"/>
    </row>
    <row r="12" spans="1:11" x14ac:dyDescent="0.3">
      <c r="A12" s="19"/>
      <c r="B12" s="664" t="s">
        <v>77</v>
      </c>
      <c r="C12" s="729">
        <f>C7+C8-SUM(C9:C11)</f>
        <v>0</v>
      </c>
      <c r="E12" s="729">
        <f>E7-SUM(E9:E11)</f>
        <v>0</v>
      </c>
      <c r="G12" s="665" t="s">
        <v>1499</v>
      </c>
      <c r="H12" s="667" t="s">
        <v>1534</v>
      </c>
      <c r="I12" s="666" t="s">
        <v>1537</v>
      </c>
      <c r="J12" s="667" t="s">
        <v>1538</v>
      </c>
      <c r="K12" s="668"/>
    </row>
    <row r="13" spans="1:11" x14ac:dyDescent="0.3">
      <c r="A13" s="259"/>
      <c r="B13" s="259"/>
      <c r="C13" s="266"/>
      <c r="D13" s="266"/>
      <c r="E13" s="266"/>
      <c r="G13" s="665"/>
      <c r="H13" s="666"/>
      <c r="I13" s="180"/>
    </row>
    <row r="14" spans="1:11" x14ac:dyDescent="0.3">
      <c r="A14" s="259"/>
      <c r="B14" s="664" t="s">
        <v>1491</v>
      </c>
      <c r="C14" s="730">
        <f>Import!L51</f>
        <v>0</v>
      </c>
      <c r="D14" s="266"/>
      <c r="E14" s="266"/>
      <c r="G14" s="665">
        <v>9</v>
      </c>
      <c r="H14" s="666" t="s">
        <v>195</v>
      </c>
      <c r="I14" s="180"/>
    </row>
    <row r="15" spans="1:11" x14ac:dyDescent="0.3">
      <c r="A15" s="259"/>
      <c r="B15" s="664" t="s">
        <v>78</v>
      </c>
      <c r="C15" s="731">
        <f>C14-C12</f>
        <v>0</v>
      </c>
      <c r="D15" s="266"/>
      <c r="E15" s="266"/>
      <c r="G15" s="665" t="s">
        <v>1499</v>
      </c>
      <c r="H15" s="667" t="s">
        <v>1535</v>
      </c>
      <c r="I15" s="669"/>
    </row>
    <row r="16" spans="1:11" x14ac:dyDescent="0.3">
      <c r="A16" s="259"/>
      <c r="B16" s="270" t="s">
        <v>79</v>
      </c>
      <c r="C16" s="266"/>
      <c r="D16" s="266"/>
      <c r="E16" s="266"/>
      <c r="G16" s="665"/>
      <c r="H16" s="666"/>
      <c r="I16" s="180"/>
    </row>
    <row r="17" spans="1:9" x14ac:dyDescent="0.3">
      <c r="A17" s="271" t="s">
        <v>80</v>
      </c>
      <c r="B17" s="664" t="s">
        <v>1493</v>
      </c>
      <c r="C17" s="731">
        <f>Import!L47</f>
        <v>0</v>
      </c>
      <c r="D17" s="266"/>
      <c r="E17" s="266"/>
      <c r="G17" s="665">
        <v>7</v>
      </c>
      <c r="H17" s="666" t="s">
        <v>193</v>
      </c>
      <c r="I17" s="180"/>
    </row>
    <row r="18" spans="1:9" ht="15" thickBot="1" x14ac:dyDescent="0.35">
      <c r="B18" s="664" t="s">
        <v>81</v>
      </c>
      <c r="C18" s="732">
        <f>(C15-SUM(C17:C17))</f>
        <v>0</v>
      </c>
      <c r="D18" s="266"/>
      <c r="E18" s="266"/>
      <c r="G18" s="665" t="s">
        <v>1499</v>
      </c>
      <c r="H18" s="667" t="s">
        <v>1536</v>
      </c>
      <c r="I18" s="180"/>
    </row>
    <row r="19" spans="1:9" ht="15" thickTop="1" x14ac:dyDescent="0.3">
      <c r="B19" s="259"/>
      <c r="C19" s="266"/>
      <c r="D19" s="266"/>
      <c r="E19" s="266"/>
      <c r="G19" s="665"/>
      <c r="H19" s="666"/>
      <c r="I19" s="180"/>
    </row>
    <row r="20" spans="1:9" ht="15" thickBot="1" x14ac:dyDescent="0.35">
      <c r="B20" s="664" t="s">
        <v>1494</v>
      </c>
      <c r="C20" s="733">
        <f>Import!L46</f>
        <v>0</v>
      </c>
      <c r="D20" s="266"/>
      <c r="E20" s="266"/>
      <c r="G20" s="665">
        <v>391</v>
      </c>
      <c r="H20" s="666" t="s">
        <v>192</v>
      </c>
      <c r="I20" s="180"/>
    </row>
    <row r="21" spans="1:9" ht="15.6" thickTop="1" thickBot="1" x14ac:dyDescent="0.35">
      <c r="B21" s="272" t="str">
        <f>IF(C18&gt;C20, "Restricted-Stabilization by State Statute understated by ",IF(C20&gt;C18, "Restricted-Stabilization by State Statute overstated by ","Restricted-Stabilization by State Statutue Reportedly Correctly. "))</f>
        <v xml:space="preserve">Restricted-Stabilization by State Statutue Reportedly Correctly. </v>
      </c>
      <c r="C21" s="734">
        <f>ABS(C18-C20)</f>
        <v>0</v>
      </c>
      <c r="D21" s="266"/>
      <c r="E21" s="266"/>
      <c r="G21" s="155"/>
      <c r="I21" s="180"/>
    </row>
    <row r="22" spans="1:9" ht="15" thickTop="1" x14ac:dyDescent="0.3">
      <c r="B22" s="670" t="str">
        <f>IF(C18&gt;C20,"Since Restricted-Stabilization by State Statute was understated, verfiy that the unit did not appropriate fund balance in excess of legal amount available in row 12 above.","")</f>
        <v/>
      </c>
      <c r="C22" s="670"/>
      <c r="D22" s="670"/>
      <c r="E22" s="670"/>
      <c r="F22" s="266"/>
      <c r="G22" s="266"/>
    </row>
    <row r="23" spans="1:9" x14ac:dyDescent="0.3">
      <c r="B23" s="270" t="s">
        <v>82</v>
      </c>
      <c r="C23" s="266"/>
      <c r="D23" s="266"/>
      <c r="E23" s="273" t="s">
        <v>83</v>
      </c>
      <c r="G23" s="155"/>
      <c r="I23" s="180"/>
    </row>
    <row r="24" spans="1:9" x14ac:dyDescent="0.3">
      <c r="B24" s="270"/>
      <c r="C24" s="261" t="s">
        <v>84</v>
      </c>
      <c r="D24" s="266"/>
      <c r="E24" s="261" t="s">
        <v>91</v>
      </c>
      <c r="G24" s="155"/>
      <c r="I24" s="180"/>
    </row>
    <row r="25" spans="1:9" x14ac:dyDescent="0.3">
      <c r="B25" s="265" t="s">
        <v>85</v>
      </c>
      <c r="C25" s="266"/>
      <c r="D25" s="266"/>
      <c r="E25" s="266"/>
      <c r="G25" s="155"/>
      <c r="I25" s="180"/>
    </row>
    <row r="26" spans="1:9" x14ac:dyDescent="0.3">
      <c r="B26" s="664" t="s">
        <v>86</v>
      </c>
      <c r="C26" s="691">
        <f>Import!L59</f>
        <v>0</v>
      </c>
      <c r="D26" s="267"/>
      <c r="E26" s="691">
        <f>C26</f>
        <v>0</v>
      </c>
      <c r="G26" s="671">
        <v>532</v>
      </c>
      <c r="H26" s="674" t="s">
        <v>199</v>
      </c>
      <c r="I26" s="180"/>
    </row>
    <row r="27" spans="1:9" x14ac:dyDescent="0.3">
      <c r="B27" s="265" t="s">
        <v>87</v>
      </c>
      <c r="C27" s="266"/>
      <c r="D27" s="266"/>
      <c r="E27" s="266"/>
      <c r="G27" s="155"/>
      <c r="H27" s="666"/>
      <c r="I27" s="180"/>
    </row>
    <row r="28" spans="1:9" x14ac:dyDescent="0.3">
      <c r="B28" s="664" t="s">
        <v>88</v>
      </c>
      <c r="C28" s="693">
        <f>Import!L62</f>
        <v>0</v>
      </c>
      <c r="D28" s="268"/>
      <c r="E28" s="693">
        <f>C28</f>
        <v>0</v>
      </c>
      <c r="G28" s="671">
        <v>20</v>
      </c>
      <c r="H28" s="666" t="s">
        <v>201</v>
      </c>
      <c r="I28" s="180"/>
    </row>
    <row r="29" spans="1:9" ht="41.4" x14ac:dyDescent="0.3">
      <c r="B29" s="664" t="s">
        <v>1495</v>
      </c>
      <c r="C29" s="693">
        <f>Import!L65</f>
        <v>0</v>
      </c>
      <c r="D29" s="268"/>
      <c r="E29" s="693">
        <f>C29</f>
        <v>0</v>
      </c>
      <c r="G29" s="927">
        <v>509</v>
      </c>
      <c r="H29" s="928" t="s">
        <v>288</v>
      </c>
      <c r="I29" s="180"/>
    </row>
    <row r="30" spans="1:9" ht="21" customHeight="1" x14ac:dyDescent="0.3">
      <c r="B30" s="664" t="s">
        <v>89</v>
      </c>
      <c r="C30" s="693">
        <f>Import!L63</f>
        <v>0</v>
      </c>
      <c r="D30" s="268"/>
      <c r="E30" s="693">
        <f>C30</f>
        <v>0</v>
      </c>
      <c r="G30" s="927">
        <v>533</v>
      </c>
      <c r="H30" s="928" t="s">
        <v>888</v>
      </c>
      <c r="I30" s="180"/>
    </row>
    <row r="31" spans="1:9" ht="41.4" x14ac:dyDescent="0.3">
      <c r="B31" s="664" t="s">
        <v>1496</v>
      </c>
      <c r="C31" s="693">
        <f>Import!L64</f>
        <v>0</v>
      </c>
      <c r="D31" s="268"/>
      <c r="E31" s="693">
        <f>C31</f>
        <v>0</v>
      </c>
      <c r="G31" s="927">
        <v>508</v>
      </c>
      <c r="H31" s="928" t="s">
        <v>290</v>
      </c>
      <c r="I31" s="180"/>
    </row>
    <row r="32" spans="1:9" ht="16.95" customHeight="1" thickBot="1" x14ac:dyDescent="0.35">
      <c r="B32" s="672" t="s">
        <v>1497</v>
      </c>
      <c r="C32" s="735">
        <f>C26+C28+C29-C30-C31</f>
        <v>0</v>
      </c>
      <c r="D32" s="267"/>
      <c r="E32" s="735">
        <f>E26+E28+E29-E30-E31</f>
        <v>0</v>
      </c>
      <c r="G32" s="665" t="s">
        <v>1499</v>
      </c>
      <c r="H32" s="668" t="s">
        <v>1498</v>
      </c>
      <c r="I32" s="180"/>
    </row>
    <row r="33" spans="1:9" ht="15" thickTop="1" x14ac:dyDescent="0.3">
      <c r="B33" s="266"/>
      <c r="C33" s="266"/>
      <c r="D33" s="266"/>
      <c r="E33" s="266"/>
      <c r="G33" s="155"/>
      <c r="I33" s="180"/>
    </row>
    <row r="34" spans="1:9" ht="15" thickBot="1" x14ac:dyDescent="0.35">
      <c r="B34" s="672" t="s">
        <v>90</v>
      </c>
      <c r="C34" s="274" t="e">
        <f>C12/C32</f>
        <v>#DIV/0!</v>
      </c>
      <c r="D34" s="266"/>
      <c r="E34" s="274" t="e">
        <f>E12/E32</f>
        <v>#DIV/0!</v>
      </c>
      <c r="G34" s="155"/>
      <c r="I34" s="180"/>
    </row>
    <row r="35" spans="1:9" ht="15" thickTop="1" x14ac:dyDescent="0.3">
      <c r="C35" s="266"/>
      <c r="D35" s="266"/>
      <c r="E35" s="266"/>
      <c r="G35" s="155"/>
      <c r="I35" s="180"/>
    </row>
    <row r="36" spans="1:9" ht="15.6" x14ac:dyDescent="0.3">
      <c r="A36" s="20"/>
    </row>
    <row r="38" spans="1:9" x14ac:dyDescent="0.3">
      <c r="E38" s="527"/>
    </row>
    <row r="39" spans="1:9" x14ac:dyDescent="0.3">
      <c r="E39" s="122"/>
    </row>
    <row r="40" spans="1:9" x14ac:dyDescent="0.3">
      <c r="E40" s="122"/>
    </row>
    <row r="41" spans="1:9" x14ac:dyDescent="0.3">
      <c r="E41" s="122"/>
    </row>
    <row r="42" spans="1:9" x14ac:dyDescent="0.3">
      <c r="E42" s="122"/>
    </row>
    <row r="43" spans="1:9" x14ac:dyDescent="0.3">
      <c r="E43" s="122"/>
    </row>
  </sheetData>
  <sheetProtection algorithmName="SHA-512" hashValue="dLTOdwCmG0uusFLrErQs5Qhp4YJvUlcGYC5qs6AsTsdGUdRJdbDdKspxoNzKsam7e8tSrZM4lIwvGHQpbNaG1A==" saltValue="KRScpB7Nq+elqGOcTyGZaw==" spinCount="100000" sheet="1" objects="1" scenarios="1"/>
  <mergeCells count="1">
    <mergeCell ref="B2:E2"/>
  </mergeCells>
  <pageMargins left="0.7" right="0.7" top="0.75" bottom="0.75" header="0.3" footer="0.3"/>
  <pageSetup scale="4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D7EE2-1BD6-4867-8235-E926794B3B2E}">
  <sheetPr codeName="Sheet16"/>
  <dimension ref="A1:UW555"/>
  <sheetViews>
    <sheetView zoomScale="85" zoomScaleNormal="85" workbookViewId="0">
      <pane ySplit="3" topLeftCell="A4" activePane="bottomLeft" state="frozen"/>
      <selection pane="bottomLeft" activeCell="Q33" sqref="Q33"/>
    </sheetView>
  </sheetViews>
  <sheetFormatPr defaultColWidth="9.109375" defaultRowHeight="14.4" x14ac:dyDescent="0.3"/>
  <cols>
    <col min="1" max="1" width="45.109375" style="577" customWidth="1"/>
    <col min="2" max="2" width="36.44140625" style="577" customWidth="1"/>
    <col min="3" max="3" width="12.33203125" style="577" customWidth="1"/>
    <col min="4" max="4" width="1.33203125" style="577" customWidth="1"/>
    <col min="5" max="5" width="42.44140625" style="577" customWidth="1"/>
    <col min="6" max="6" width="19.88671875" style="577" customWidth="1"/>
    <col min="7" max="7" width="21.6640625" style="577" customWidth="1"/>
    <col min="8" max="8" width="6.6640625" style="577" customWidth="1"/>
    <col min="9" max="9" width="6.33203125" style="606" customWidth="1"/>
    <col min="10" max="10" width="11.6640625" style="606" hidden="1" customWidth="1"/>
    <col min="11" max="11" width="12" style="606" hidden="1" customWidth="1"/>
    <col min="12" max="12" width="17.109375" style="606" hidden="1" customWidth="1"/>
    <col min="13" max="13" width="15.109375" style="606" hidden="1" customWidth="1"/>
    <col min="14" max="14" width="15.5546875" style="606" hidden="1" customWidth="1"/>
    <col min="15" max="15" width="37.88671875" style="615" hidden="1" customWidth="1"/>
    <col min="16" max="16" width="15.109375" style="615" hidden="1" customWidth="1"/>
    <col min="17" max="17" width="26.6640625" style="606" customWidth="1"/>
    <col min="18" max="18" width="9.109375" style="606"/>
    <col min="19" max="19" width="11.44140625" style="606" customWidth="1"/>
    <col min="20" max="47" width="9.109375" style="606"/>
    <col min="48" max="16384" width="9.109375" style="577"/>
  </cols>
  <sheetData>
    <row r="1" spans="1:569" x14ac:dyDescent="0.3">
      <c r="A1" s="575"/>
      <c r="B1" s="589" t="str">
        <f>+'Unit Data from Audit Worksheet'!D2</f>
        <v>Select Unit Name from Drop Down List</v>
      </c>
      <c r="C1" s="576"/>
      <c r="D1" s="576"/>
      <c r="E1" s="630" t="s">
        <v>1454</v>
      </c>
      <c r="H1" s="576"/>
      <c r="J1" s="606" t="s">
        <v>1426</v>
      </c>
      <c r="K1" s="606" t="s">
        <v>1427</v>
      </c>
      <c r="M1" s="611" t="s">
        <v>1429</v>
      </c>
      <c r="N1" s="611" t="s">
        <v>1429</v>
      </c>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c r="CV1" s="180"/>
      <c r="CW1" s="180"/>
      <c r="CX1" s="180"/>
      <c r="CY1" s="180"/>
      <c r="CZ1" s="180"/>
      <c r="DA1" s="180"/>
      <c r="DB1" s="180"/>
      <c r="DC1" s="180"/>
      <c r="DD1" s="180"/>
      <c r="DE1" s="180"/>
      <c r="DF1" s="180"/>
      <c r="DG1" s="180"/>
      <c r="DH1" s="180"/>
      <c r="DI1" s="180"/>
      <c r="DJ1" s="180"/>
      <c r="DK1" s="180"/>
      <c r="DL1" s="180"/>
      <c r="DM1" s="180"/>
      <c r="DN1" s="180"/>
      <c r="DO1" s="180"/>
      <c r="DP1" s="180"/>
      <c r="DQ1" s="180"/>
      <c r="DR1" s="180"/>
      <c r="DS1" s="180"/>
      <c r="DT1" s="180"/>
      <c r="DU1" s="180"/>
      <c r="DV1" s="180"/>
      <c r="DW1" s="180"/>
      <c r="DX1" s="180"/>
      <c r="DY1" s="180"/>
      <c r="DZ1" s="180"/>
      <c r="EA1" s="180"/>
      <c r="EB1" s="180"/>
      <c r="EC1" s="180"/>
      <c r="ED1" s="180"/>
      <c r="EE1" s="180"/>
      <c r="EF1" s="180"/>
      <c r="EG1" s="180"/>
      <c r="EH1" s="180"/>
      <c r="EI1" s="180"/>
      <c r="EJ1" s="180"/>
      <c r="EK1" s="180"/>
      <c r="EL1" s="180"/>
      <c r="EM1" s="180"/>
      <c r="EN1" s="180"/>
      <c r="EO1" s="180"/>
      <c r="EP1" s="180"/>
      <c r="EQ1" s="180"/>
      <c r="ER1" s="180"/>
      <c r="ES1" s="180"/>
      <c r="ET1" s="180"/>
      <c r="EU1" s="180"/>
      <c r="EV1" s="180"/>
      <c r="EW1" s="180"/>
      <c r="EX1" s="180"/>
      <c r="EY1" s="180"/>
      <c r="EZ1" s="180"/>
      <c r="FA1" s="180"/>
      <c r="FB1" s="180"/>
      <c r="FC1" s="180"/>
      <c r="FD1" s="180"/>
      <c r="FE1" s="180"/>
      <c r="FF1" s="180"/>
      <c r="FG1" s="180"/>
      <c r="FH1" s="180"/>
      <c r="FI1" s="180"/>
      <c r="FJ1" s="180"/>
      <c r="FK1" s="180"/>
      <c r="FL1" s="180"/>
      <c r="FM1" s="180"/>
      <c r="FN1" s="180"/>
      <c r="FO1" s="180"/>
      <c r="FP1" s="180"/>
      <c r="FQ1" s="180"/>
      <c r="FR1" s="180"/>
      <c r="FS1" s="180"/>
      <c r="FT1" s="180"/>
      <c r="FU1" s="180"/>
      <c r="FV1" s="180"/>
      <c r="FW1" s="180"/>
      <c r="FX1" s="180"/>
      <c r="FY1" s="180"/>
      <c r="FZ1" s="180"/>
      <c r="GA1" s="180"/>
      <c r="GB1" s="180"/>
      <c r="GC1" s="180"/>
      <c r="GD1" s="180"/>
      <c r="GE1" s="180"/>
      <c r="GF1" s="180"/>
      <c r="GG1" s="180"/>
      <c r="GH1" s="180"/>
      <c r="GI1" s="180"/>
      <c r="GJ1" s="180"/>
      <c r="GK1" s="180"/>
      <c r="GL1" s="180"/>
      <c r="GM1" s="180"/>
      <c r="GN1" s="180"/>
      <c r="GO1" s="180"/>
      <c r="GP1" s="180"/>
      <c r="GQ1" s="180"/>
      <c r="GR1" s="180"/>
      <c r="GS1" s="180"/>
      <c r="GT1" s="180"/>
      <c r="GU1" s="180"/>
      <c r="GV1" s="180"/>
      <c r="GW1" s="180"/>
      <c r="GX1" s="180"/>
      <c r="GY1" s="180"/>
      <c r="GZ1" s="180"/>
      <c r="HA1" s="180"/>
      <c r="HB1" s="180"/>
      <c r="HC1" s="180"/>
      <c r="HD1" s="180"/>
      <c r="HE1" s="180"/>
      <c r="HF1" s="180"/>
      <c r="HG1" s="180"/>
      <c r="HH1" s="180"/>
      <c r="HI1" s="180"/>
      <c r="HJ1" s="180"/>
      <c r="HK1" s="180"/>
      <c r="HL1" s="180"/>
      <c r="HM1" s="180"/>
      <c r="HN1" s="180"/>
      <c r="HO1" s="180"/>
      <c r="HP1" s="180"/>
      <c r="HQ1" s="180"/>
      <c r="HR1" s="180"/>
      <c r="HS1" s="180"/>
      <c r="HT1" s="180"/>
      <c r="HU1" s="180"/>
      <c r="HV1" s="180"/>
      <c r="HW1" s="180"/>
      <c r="HX1" s="180"/>
      <c r="HY1" s="180"/>
      <c r="HZ1" s="180"/>
      <c r="IA1" s="180"/>
      <c r="IB1" s="180"/>
      <c r="IC1" s="180"/>
      <c r="ID1" s="180"/>
      <c r="IE1" s="180"/>
      <c r="IF1" s="180"/>
      <c r="IG1" s="180"/>
      <c r="IH1" s="180"/>
      <c r="II1" s="180"/>
      <c r="IJ1" s="180"/>
      <c r="IK1" s="180"/>
      <c r="IL1" s="180"/>
      <c r="IM1" s="180"/>
      <c r="IN1" s="180"/>
      <c r="IO1" s="180"/>
      <c r="IP1" s="180"/>
      <c r="IQ1" s="180"/>
      <c r="IR1" s="180"/>
      <c r="IS1" s="180"/>
      <c r="IT1" s="180"/>
      <c r="IU1" s="180"/>
      <c r="IV1" s="180"/>
      <c r="IW1" s="180"/>
      <c r="IX1" s="180"/>
      <c r="IY1" s="180"/>
      <c r="IZ1" s="180"/>
      <c r="JA1" s="180"/>
      <c r="JB1" s="180"/>
      <c r="JC1" s="180"/>
      <c r="JD1" s="180"/>
      <c r="JE1" s="180"/>
      <c r="JF1" s="180"/>
      <c r="JG1" s="180"/>
      <c r="JH1" s="180"/>
      <c r="JI1" s="180"/>
      <c r="JJ1" s="180"/>
      <c r="JK1" s="180"/>
      <c r="JL1" s="180"/>
      <c r="JM1" s="180"/>
      <c r="JN1" s="180"/>
      <c r="JO1" s="180"/>
      <c r="JP1" s="180"/>
      <c r="JQ1" s="180"/>
      <c r="JR1" s="180"/>
      <c r="JS1" s="180"/>
      <c r="JT1" s="180"/>
      <c r="JU1" s="180"/>
      <c r="JV1" s="180"/>
      <c r="JW1" s="180"/>
      <c r="JX1" s="180"/>
      <c r="JY1" s="180"/>
      <c r="JZ1" s="180"/>
      <c r="KA1" s="180"/>
      <c r="KB1" s="180"/>
      <c r="KC1" s="180"/>
      <c r="KD1" s="180"/>
      <c r="KE1" s="180"/>
      <c r="KF1" s="180"/>
      <c r="KG1" s="180"/>
      <c r="KH1" s="180"/>
      <c r="KI1" s="180"/>
      <c r="KJ1" s="180"/>
      <c r="KK1" s="180"/>
      <c r="KL1" s="180"/>
      <c r="KM1" s="180"/>
      <c r="KN1" s="180"/>
      <c r="KO1" s="180"/>
      <c r="KP1" s="180"/>
      <c r="KQ1" s="180"/>
      <c r="KR1" s="180"/>
      <c r="KS1" s="180"/>
      <c r="KT1" s="180"/>
      <c r="KU1" s="180"/>
      <c r="KV1" s="180"/>
      <c r="KW1" s="180"/>
      <c r="KX1" s="180"/>
      <c r="KY1" s="180"/>
      <c r="KZ1" s="180"/>
      <c r="LA1" s="180"/>
      <c r="LB1" s="180"/>
      <c r="LC1" s="180"/>
      <c r="LD1" s="180"/>
      <c r="LE1" s="180"/>
      <c r="LF1" s="180"/>
      <c r="LG1" s="180"/>
      <c r="LH1" s="180"/>
      <c r="LI1" s="180"/>
      <c r="LJ1" s="180"/>
      <c r="LK1" s="180"/>
      <c r="LL1" s="180"/>
      <c r="LM1" s="180"/>
      <c r="LN1" s="180"/>
      <c r="LO1" s="180"/>
      <c r="LP1" s="180"/>
      <c r="LQ1" s="180"/>
      <c r="LR1" s="180"/>
      <c r="LS1" s="180"/>
      <c r="LT1" s="180"/>
      <c r="LU1" s="180"/>
      <c r="LV1" s="180"/>
      <c r="LW1" s="180"/>
      <c r="LX1" s="180"/>
      <c r="LY1" s="180"/>
      <c r="LZ1" s="180"/>
      <c r="MA1" s="180"/>
      <c r="MB1" s="180"/>
      <c r="MC1" s="180"/>
      <c r="MD1" s="180"/>
      <c r="ME1" s="180"/>
      <c r="MF1" s="180"/>
      <c r="MG1" s="180"/>
      <c r="MH1" s="180"/>
      <c r="MI1" s="180"/>
      <c r="MJ1" s="180"/>
      <c r="MK1" s="180"/>
      <c r="ML1" s="180"/>
      <c r="MM1" s="180"/>
      <c r="MN1" s="180"/>
      <c r="MO1" s="180"/>
      <c r="MP1" s="180"/>
      <c r="MQ1" s="180"/>
      <c r="MR1" s="180"/>
      <c r="MS1" s="180"/>
      <c r="MT1" s="180"/>
      <c r="MU1" s="180"/>
      <c r="MV1" s="180"/>
      <c r="MW1" s="180"/>
      <c r="MX1" s="180"/>
      <c r="MY1" s="180"/>
      <c r="MZ1" s="180"/>
      <c r="NA1" s="180"/>
      <c r="NB1" s="180"/>
      <c r="NC1" s="180"/>
      <c r="ND1" s="180"/>
      <c r="NE1" s="180"/>
      <c r="NF1" s="180"/>
      <c r="NG1" s="180"/>
      <c r="NH1" s="180"/>
      <c r="NI1" s="180"/>
      <c r="NJ1" s="180"/>
      <c r="NK1" s="180"/>
      <c r="NL1" s="180"/>
      <c r="NM1" s="180"/>
      <c r="NN1" s="180"/>
      <c r="NO1" s="180"/>
      <c r="NP1" s="180"/>
      <c r="NQ1" s="180"/>
      <c r="NR1" s="180"/>
      <c r="NS1" s="180"/>
      <c r="NT1" s="180"/>
      <c r="NU1" s="180"/>
      <c r="NV1" s="180"/>
      <c r="NW1" s="180"/>
      <c r="NX1" s="180"/>
      <c r="NY1" s="180"/>
      <c r="NZ1" s="180"/>
      <c r="OA1" s="180"/>
      <c r="OB1" s="180"/>
      <c r="OC1" s="180"/>
      <c r="OD1" s="180"/>
      <c r="OE1" s="180"/>
      <c r="OF1" s="180"/>
      <c r="OG1" s="180"/>
      <c r="OH1" s="180"/>
      <c r="OI1" s="180"/>
      <c r="OJ1" s="180"/>
      <c r="OK1" s="180"/>
      <c r="OL1" s="180"/>
      <c r="OM1" s="180"/>
      <c r="ON1" s="180"/>
      <c r="OO1" s="180"/>
      <c r="OP1" s="180"/>
      <c r="OQ1" s="180"/>
      <c r="OR1" s="180"/>
      <c r="OS1" s="180"/>
      <c r="OT1" s="180"/>
      <c r="OU1" s="180"/>
      <c r="OV1" s="180"/>
      <c r="OW1" s="180"/>
      <c r="OX1" s="180"/>
      <c r="OY1" s="180"/>
      <c r="OZ1" s="180"/>
      <c r="PA1" s="180"/>
      <c r="PB1" s="180"/>
      <c r="PC1" s="180"/>
      <c r="PD1" s="180"/>
      <c r="PE1" s="180"/>
      <c r="PF1" s="180"/>
      <c r="PG1" s="180"/>
      <c r="PH1" s="180"/>
      <c r="PI1" s="180"/>
      <c r="PJ1" s="180"/>
      <c r="PK1" s="180"/>
      <c r="PL1" s="180"/>
      <c r="PM1" s="180"/>
      <c r="PN1" s="180"/>
      <c r="PO1" s="180"/>
      <c r="PP1" s="180"/>
      <c r="PQ1" s="180"/>
      <c r="PR1" s="180"/>
      <c r="PS1" s="180"/>
      <c r="PT1" s="180"/>
      <c r="PU1" s="180"/>
      <c r="PV1" s="180"/>
      <c r="PW1" s="180"/>
      <c r="PX1" s="180"/>
      <c r="PY1" s="180"/>
      <c r="PZ1" s="180"/>
      <c r="QA1" s="180"/>
      <c r="QB1" s="180"/>
      <c r="QC1" s="180"/>
      <c r="QD1" s="180"/>
      <c r="QE1" s="180"/>
      <c r="QF1" s="180"/>
      <c r="QG1" s="180"/>
      <c r="QH1" s="180"/>
      <c r="QI1" s="180"/>
      <c r="QJ1" s="180"/>
      <c r="QK1" s="180"/>
      <c r="QL1" s="180"/>
      <c r="QM1" s="180"/>
      <c r="QN1" s="180"/>
      <c r="QO1" s="180"/>
      <c r="QP1" s="180"/>
      <c r="QQ1" s="180"/>
      <c r="QR1" s="180"/>
      <c r="QS1" s="180"/>
      <c r="QT1" s="180"/>
      <c r="QU1" s="180"/>
      <c r="QV1" s="180"/>
      <c r="QW1" s="180"/>
      <c r="QX1" s="180"/>
      <c r="QY1" s="180"/>
      <c r="QZ1" s="180"/>
      <c r="RA1" s="180"/>
      <c r="RB1" s="180"/>
      <c r="RC1" s="180"/>
      <c r="RD1" s="180"/>
      <c r="RE1" s="180"/>
      <c r="RF1" s="180"/>
      <c r="RG1" s="180"/>
      <c r="RH1" s="180"/>
      <c r="RI1" s="180"/>
      <c r="RJ1" s="180"/>
      <c r="RK1" s="180"/>
      <c r="RL1" s="180"/>
      <c r="RM1" s="180"/>
      <c r="RN1" s="180"/>
      <c r="RO1" s="180"/>
      <c r="RP1" s="180"/>
      <c r="RQ1" s="180"/>
      <c r="RR1" s="180"/>
      <c r="RS1" s="180"/>
      <c r="RT1" s="180"/>
      <c r="RU1" s="180"/>
      <c r="RV1" s="180"/>
      <c r="RW1" s="180"/>
      <c r="RX1" s="180"/>
      <c r="RY1" s="180"/>
      <c r="RZ1" s="180"/>
      <c r="SA1" s="180"/>
      <c r="SB1" s="180"/>
      <c r="SC1" s="180"/>
      <c r="SD1" s="180"/>
      <c r="SE1" s="180"/>
      <c r="SF1" s="180"/>
      <c r="SG1" s="180"/>
      <c r="SH1" s="180"/>
      <c r="SI1" s="180"/>
      <c r="SJ1" s="180"/>
      <c r="SK1" s="180"/>
      <c r="SL1" s="180"/>
      <c r="SM1" s="180"/>
      <c r="SN1" s="180"/>
      <c r="SO1" s="180"/>
      <c r="SP1" s="180"/>
      <c r="SQ1" s="180"/>
      <c r="SR1" s="180"/>
      <c r="SS1" s="180"/>
      <c r="ST1" s="180"/>
      <c r="SU1" s="180"/>
      <c r="SV1" s="180"/>
      <c r="SW1" s="180"/>
      <c r="SX1" s="180"/>
      <c r="SY1" s="180"/>
      <c r="SZ1" s="180"/>
      <c r="TA1" s="180"/>
      <c r="TB1" s="180"/>
      <c r="TC1" s="180"/>
      <c r="TD1" s="180"/>
      <c r="TE1" s="180"/>
      <c r="TF1" s="180"/>
      <c r="TG1" s="180"/>
      <c r="TH1" s="180"/>
      <c r="TI1" s="180"/>
      <c r="TJ1" s="180"/>
      <c r="TK1" s="180"/>
      <c r="TL1" s="180"/>
      <c r="TM1" s="180"/>
      <c r="TN1" s="180"/>
      <c r="TO1" s="180"/>
      <c r="TP1" s="180"/>
      <c r="TQ1" s="180"/>
      <c r="TR1" s="180"/>
      <c r="TS1" s="180"/>
      <c r="TT1" s="180"/>
      <c r="TU1" s="180"/>
      <c r="TV1" s="180"/>
      <c r="TW1" s="180"/>
      <c r="TX1" s="180"/>
      <c r="TY1" s="180"/>
      <c r="TZ1" s="180"/>
      <c r="UA1" s="180"/>
      <c r="UB1" s="180"/>
      <c r="UC1" s="180"/>
      <c r="UD1" s="180"/>
      <c r="UE1" s="180"/>
      <c r="UF1" s="180"/>
      <c r="UG1" s="180"/>
      <c r="UH1" s="180"/>
      <c r="UI1" s="180"/>
      <c r="UJ1" s="180"/>
      <c r="UK1" s="180"/>
      <c r="UL1" s="180"/>
      <c r="UM1" s="180"/>
      <c r="UN1" s="180"/>
      <c r="UO1" s="180"/>
      <c r="UP1" s="180"/>
      <c r="UQ1" s="180"/>
      <c r="UR1" s="180"/>
      <c r="US1" s="180"/>
      <c r="UT1" s="180"/>
      <c r="UU1" s="180"/>
      <c r="UV1" s="180"/>
      <c r="UW1" s="180"/>
    </row>
    <row r="2" spans="1:569" x14ac:dyDescent="0.3">
      <c r="A2" s="575" t="s">
        <v>1448</v>
      </c>
      <c r="B2" s="575" t="e">
        <f>+'Unit Data from Audit Worksheet'!D3</f>
        <v>#N/A</v>
      </c>
      <c r="C2" s="576"/>
      <c r="D2" s="576"/>
      <c r="E2" s="631" t="s">
        <v>1453</v>
      </c>
      <c r="H2" s="576"/>
      <c r="M2" s="612" t="s">
        <v>1430</v>
      </c>
      <c r="N2" s="612" t="s">
        <v>1434</v>
      </c>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c r="FS2" s="180"/>
      <c r="FT2" s="180"/>
      <c r="FU2" s="180"/>
      <c r="FV2" s="180"/>
      <c r="FW2" s="180"/>
      <c r="FX2" s="180"/>
      <c r="FY2" s="180"/>
      <c r="FZ2" s="180"/>
      <c r="GA2" s="180"/>
      <c r="GB2" s="180"/>
      <c r="GC2" s="180"/>
      <c r="GD2" s="180"/>
      <c r="GE2" s="180"/>
      <c r="GF2" s="180"/>
      <c r="GG2" s="180"/>
      <c r="GH2" s="180"/>
      <c r="GI2" s="180"/>
      <c r="GJ2" s="180"/>
      <c r="GK2" s="180"/>
      <c r="GL2" s="180"/>
      <c r="GM2" s="180"/>
      <c r="GN2" s="180"/>
      <c r="GO2" s="180"/>
      <c r="GP2" s="180"/>
      <c r="GQ2" s="180"/>
      <c r="GR2" s="180"/>
      <c r="GS2" s="180"/>
      <c r="GT2" s="180"/>
      <c r="GU2" s="180"/>
      <c r="GV2" s="180"/>
      <c r="GW2" s="180"/>
      <c r="GX2" s="180"/>
      <c r="GY2" s="180"/>
      <c r="GZ2" s="180"/>
      <c r="HA2" s="180"/>
      <c r="HB2" s="180"/>
      <c r="HC2" s="180"/>
      <c r="HD2" s="180"/>
      <c r="HE2" s="180"/>
      <c r="HF2" s="180"/>
      <c r="HG2" s="180"/>
      <c r="HH2" s="180"/>
      <c r="HI2" s="180"/>
      <c r="HJ2" s="180"/>
      <c r="HK2" s="180"/>
      <c r="HL2" s="180"/>
      <c r="HM2" s="180"/>
      <c r="HN2" s="180"/>
      <c r="HO2" s="180"/>
      <c r="HP2" s="180"/>
      <c r="HQ2" s="180"/>
      <c r="HR2" s="180"/>
      <c r="HS2" s="180"/>
      <c r="HT2" s="180"/>
      <c r="HU2" s="180"/>
      <c r="HV2" s="180"/>
      <c r="HW2" s="180"/>
      <c r="HX2" s="180"/>
      <c r="HY2" s="180"/>
      <c r="HZ2" s="180"/>
      <c r="IA2" s="180"/>
      <c r="IB2" s="180"/>
      <c r="IC2" s="180"/>
      <c r="ID2" s="180"/>
      <c r="IE2" s="180"/>
      <c r="IF2" s="180"/>
      <c r="IG2" s="180"/>
      <c r="IH2" s="180"/>
      <c r="II2" s="180"/>
      <c r="IJ2" s="180"/>
      <c r="IK2" s="180"/>
      <c r="IL2" s="180"/>
      <c r="IM2" s="180"/>
      <c r="IN2" s="180"/>
      <c r="IO2" s="180"/>
      <c r="IP2" s="180"/>
      <c r="IQ2" s="180"/>
      <c r="IR2" s="180"/>
      <c r="IS2" s="180"/>
      <c r="IT2" s="180"/>
      <c r="IU2" s="180"/>
      <c r="IV2" s="180"/>
      <c r="IW2" s="180"/>
      <c r="IX2" s="180"/>
      <c r="IY2" s="180"/>
      <c r="IZ2" s="180"/>
      <c r="JA2" s="180"/>
      <c r="JB2" s="180"/>
      <c r="JC2" s="180"/>
      <c r="JD2" s="180"/>
      <c r="JE2" s="180"/>
      <c r="JF2" s="180"/>
      <c r="JG2" s="180"/>
      <c r="JH2" s="180"/>
      <c r="JI2" s="180"/>
      <c r="JJ2" s="180"/>
      <c r="JK2" s="180"/>
      <c r="JL2" s="180"/>
      <c r="JM2" s="180"/>
      <c r="JN2" s="180"/>
      <c r="JO2" s="180"/>
      <c r="JP2" s="180"/>
      <c r="JQ2" s="180"/>
      <c r="JR2" s="180"/>
      <c r="JS2" s="180"/>
      <c r="JT2" s="180"/>
      <c r="JU2" s="180"/>
      <c r="JV2" s="180"/>
      <c r="JW2" s="180"/>
      <c r="JX2" s="180"/>
      <c r="JY2" s="180"/>
      <c r="JZ2" s="180"/>
      <c r="KA2" s="180"/>
      <c r="KB2" s="180"/>
      <c r="KC2" s="180"/>
      <c r="KD2" s="180"/>
      <c r="KE2" s="180"/>
      <c r="KF2" s="180"/>
      <c r="KG2" s="180"/>
      <c r="KH2" s="180"/>
      <c r="KI2" s="180"/>
      <c r="KJ2" s="180"/>
      <c r="KK2" s="180"/>
      <c r="KL2" s="180"/>
      <c r="KM2" s="180"/>
      <c r="KN2" s="180"/>
      <c r="KO2" s="180"/>
      <c r="KP2" s="180"/>
      <c r="KQ2" s="180"/>
      <c r="KR2" s="180"/>
      <c r="KS2" s="180"/>
      <c r="KT2" s="180"/>
      <c r="KU2" s="180"/>
      <c r="KV2" s="180"/>
      <c r="KW2" s="180"/>
      <c r="KX2" s="180"/>
      <c r="KY2" s="180"/>
      <c r="KZ2" s="180"/>
      <c r="LA2" s="180"/>
      <c r="LB2" s="180"/>
      <c r="LC2" s="180"/>
      <c r="LD2" s="180"/>
      <c r="LE2" s="180"/>
      <c r="LF2" s="180"/>
      <c r="LG2" s="180"/>
      <c r="LH2" s="180"/>
      <c r="LI2" s="180"/>
      <c r="LJ2" s="180"/>
      <c r="LK2" s="180"/>
      <c r="LL2" s="180"/>
      <c r="LM2" s="180"/>
      <c r="LN2" s="180"/>
      <c r="LO2" s="180"/>
      <c r="LP2" s="180"/>
      <c r="LQ2" s="180"/>
      <c r="LR2" s="180"/>
      <c r="LS2" s="180"/>
      <c r="LT2" s="180"/>
      <c r="LU2" s="180"/>
      <c r="LV2" s="180"/>
      <c r="LW2" s="180"/>
      <c r="LX2" s="180"/>
      <c r="LY2" s="180"/>
      <c r="LZ2" s="180"/>
      <c r="MA2" s="180"/>
      <c r="MB2" s="180"/>
      <c r="MC2" s="180"/>
      <c r="MD2" s="180"/>
      <c r="ME2" s="180"/>
      <c r="MF2" s="180"/>
      <c r="MG2" s="180"/>
      <c r="MH2" s="180"/>
      <c r="MI2" s="180"/>
      <c r="MJ2" s="180"/>
      <c r="MK2" s="180"/>
      <c r="ML2" s="180"/>
      <c r="MM2" s="180"/>
      <c r="MN2" s="180"/>
      <c r="MO2" s="180"/>
      <c r="MP2" s="180"/>
      <c r="MQ2" s="180"/>
      <c r="MR2" s="180"/>
      <c r="MS2" s="180"/>
      <c r="MT2" s="180"/>
      <c r="MU2" s="180"/>
      <c r="MV2" s="180"/>
      <c r="MW2" s="180"/>
      <c r="MX2" s="180"/>
      <c r="MY2" s="180"/>
      <c r="MZ2" s="180"/>
      <c r="NA2" s="180"/>
      <c r="NB2" s="180"/>
      <c r="NC2" s="180"/>
      <c r="ND2" s="180"/>
      <c r="NE2" s="180"/>
      <c r="NF2" s="180"/>
      <c r="NG2" s="180"/>
      <c r="NH2" s="180"/>
      <c r="NI2" s="180"/>
      <c r="NJ2" s="180"/>
      <c r="NK2" s="180"/>
      <c r="NL2" s="180"/>
      <c r="NM2" s="180"/>
      <c r="NN2" s="180"/>
      <c r="NO2" s="180"/>
      <c r="NP2" s="180"/>
      <c r="NQ2" s="180"/>
      <c r="NR2" s="180"/>
      <c r="NS2" s="180"/>
      <c r="NT2" s="180"/>
      <c r="NU2" s="180"/>
      <c r="NV2" s="180"/>
      <c r="NW2" s="180"/>
      <c r="NX2" s="180"/>
      <c r="NY2" s="180"/>
      <c r="NZ2" s="180"/>
      <c r="OA2" s="180"/>
      <c r="OB2" s="180"/>
      <c r="OC2" s="180"/>
      <c r="OD2" s="180"/>
      <c r="OE2" s="180"/>
      <c r="OF2" s="180"/>
      <c r="OG2" s="180"/>
      <c r="OH2" s="180"/>
      <c r="OI2" s="180"/>
      <c r="OJ2" s="180"/>
      <c r="OK2" s="180"/>
      <c r="OL2" s="180"/>
      <c r="OM2" s="180"/>
      <c r="ON2" s="180"/>
      <c r="OO2" s="180"/>
      <c r="OP2" s="180"/>
      <c r="OQ2" s="180"/>
      <c r="OR2" s="180"/>
      <c r="OS2" s="180"/>
      <c r="OT2" s="180"/>
      <c r="OU2" s="180"/>
      <c r="OV2" s="180"/>
      <c r="OW2" s="180"/>
      <c r="OX2" s="180"/>
      <c r="OY2" s="180"/>
      <c r="OZ2" s="180"/>
      <c r="PA2" s="180"/>
      <c r="PB2" s="180"/>
      <c r="PC2" s="180"/>
      <c r="PD2" s="180"/>
      <c r="PE2" s="180"/>
      <c r="PF2" s="180"/>
      <c r="PG2" s="180"/>
      <c r="PH2" s="180"/>
      <c r="PI2" s="180"/>
      <c r="PJ2" s="180"/>
      <c r="PK2" s="180"/>
      <c r="PL2" s="180"/>
      <c r="PM2" s="180"/>
      <c r="PN2" s="180"/>
      <c r="PO2" s="180"/>
      <c r="PP2" s="180"/>
      <c r="PQ2" s="180"/>
      <c r="PR2" s="180"/>
      <c r="PS2" s="180"/>
      <c r="PT2" s="180"/>
      <c r="PU2" s="180"/>
      <c r="PV2" s="180"/>
      <c r="PW2" s="180"/>
      <c r="PX2" s="180"/>
      <c r="PY2" s="180"/>
      <c r="PZ2" s="180"/>
      <c r="QA2" s="180"/>
      <c r="QB2" s="180"/>
      <c r="QC2" s="180"/>
      <c r="QD2" s="180"/>
      <c r="QE2" s="180"/>
      <c r="QF2" s="180"/>
      <c r="QG2" s="180"/>
      <c r="QH2" s="180"/>
      <c r="QI2" s="180"/>
      <c r="QJ2" s="180"/>
      <c r="QK2" s="180"/>
      <c r="QL2" s="180"/>
      <c r="QM2" s="180"/>
      <c r="QN2" s="180"/>
      <c r="QO2" s="180"/>
      <c r="QP2" s="180"/>
      <c r="QQ2" s="180"/>
      <c r="QR2" s="180"/>
      <c r="QS2" s="180"/>
      <c r="QT2" s="180"/>
      <c r="QU2" s="180"/>
      <c r="QV2" s="180"/>
      <c r="QW2" s="180"/>
      <c r="QX2" s="180"/>
      <c r="QY2" s="180"/>
      <c r="QZ2" s="180"/>
      <c r="RA2" s="180"/>
      <c r="RB2" s="180"/>
      <c r="RC2" s="180"/>
      <c r="RD2" s="180"/>
      <c r="RE2" s="180"/>
      <c r="RF2" s="180"/>
      <c r="RG2" s="180"/>
      <c r="RH2" s="180"/>
      <c r="RI2" s="180"/>
      <c r="RJ2" s="180"/>
      <c r="RK2" s="180"/>
      <c r="RL2" s="180"/>
      <c r="RM2" s="180"/>
      <c r="RN2" s="180"/>
      <c r="RO2" s="180"/>
      <c r="RP2" s="180"/>
      <c r="RQ2" s="180"/>
      <c r="RR2" s="180"/>
      <c r="RS2" s="180"/>
      <c r="RT2" s="180"/>
      <c r="RU2" s="180"/>
      <c r="RV2" s="180"/>
      <c r="RW2" s="180"/>
      <c r="RX2" s="180"/>
      <c r="RY2" s="180"/>
      <c r="RZ2" s="180"/>
      <c r="SA2" s="180"/>
      <c r="SB2" s="180"/>
      <c r="SC2" s="180"/>
      <c r="SD2" s="180"/>
      <c r="SE2" s="180"/>
      <c r="SF2" s="180"/>
      <c r="SG2" s="180"/>
      <c r="SH2" s="180"/>
      <c r="SI2" s="180"/>
      <c r="SJ2" s="180"/>
      <c r="SK2" s="180"/>
      <c r="SL2" s="180"/>
      <c r="SM2" s="180"/>
      <c r="SN2" s="180"/>
      <c r="SO2" s="180"/>
      <c r="SP2" s="180"/>
      <c r="SQ2" s="180"/>
      <c r="SR2" s="180"/>
      <c r="SS2" s="180"/>
      <c r="ST2" s="180"/>
      <c r="SU2" s="180"/>
      <c r="SV2" s="180"/>
      <c r="SW2" s="180"/>
      <c r="SX2" s="180"/>
      <c r="SY2" s="180"/>
      <c r="SZ2" s="180"/>
      <c r="TA2" s="180"/>
      <c r="TB2" s="180"/>
      <c r="TC2" s="180"/>
      <c r="TD2" s="180"/>
      <c r="TE2" s="180"/>
      <c r="TF2" s="180"/>
      <c r="TG2" s="180"/>
      <c r="TH2" s="180"/>
      <c r="TI2" s="180"/>
      <c r="TJ2" s="180"/>
      <c r="TK2" s="180"/>
      <c r="TL2" s="180"/>
      <c r="TM2" s="180"/>
      <c r="TN2" s="180"/>
      <c r="TO2" s="180"/>
      <c r="TP2" s="180"/>
      <c r="TQ2" s="180"/>
      <c r="TR2" s="180"/>
      <c r="TS2" s="180"/>
      <c r="TT2" s="180"/>
      <c r="TU2" s="180"/>
      <c r="TV2" s="180"/>
      <c r="TW2" s="180"/>
      <c r="TX2" s="180"/>
      <c r="TY2" s="180"/>
      <c r="TZ2" s="180"/>
      <c r="UA2" s="180"/>
      <c r="UB2" s="180"/>
      <c r="UC2" s="180"/>
      <c r="UD2" s="180"/>
      <c r="UE2" s="180"/>
      <c r="UF2" s="180"/>
      <c r="UG2" s="180"/>
      <c r="UH2" s="180"/>
      <c r="UI2" s="180"/>
      <c r="UJ2" s="180"/>
      <c r="UK2" s="180"/>
      <c r="UL2" s="180"/>
      <c r="UM2" s="180"/>
      <c r="UN2" s="180"/>
      <c r="UO2" s="180"/>
      <c r="UP2" s="180"/>
      <c r="UQ2" s="180"/>
      <c r="UR2" s="180"/>
      <c r="US2" s="180"/>
      <c r="UT2" s="180"/>
      <c r="UU2" s="180"/>
      <c r="UV2" s="180"/>
      <c r="UW2" s="180"/>
    </row>
    <row r="3" spans="1:569" x14ac:dyDescent="0.3">
      <c r="A3" s="575" t="e">
        <f>IF(LEN(VLOOKUP(B1,$L$4:$O$555,4,FALSE))=0,"",(VLOOKUP(B1,$L$4:$O$555,4,FALSE)))</f>
        <v>#N/A</v>
      </c>
      <c r="B3" s="575" t="s">
        <v>1449</v>
      </c>
      <c r="C3" s="576"/>
      <c r="D3" s="576"/>
      <c r="H3" s="576"/>
      <c r="J3" s="606" t="s">
        <v>383</v>
      </c>
      <c r="K3" s="606" t="s">
        <v>383</v>
      </c>
      <c r="M3" s="613" t="s">
        <v>1431</v>
      </c>
      <c r="N3" s="613" t="s">
        <v>1433</v>
      </c>
    </row>
    <row r="4" spans="1:569" x14ac:dyDescent="0.3">
      <c r="A4" s="1175" t="s">
        <v>557</v>
      </c>
      <c r="B4" s="1175"/>
      <c r="C4" s="1175"/>
      <c r="D4" s="576"/>
      <c r="E4" s="1176" t="s">
        <v>558</v>
      </c>
      <c r="F4" s="1176"/>
      <c r="G4" s="576"/>
      <c r="H4" s="576"/>
      <c r="L4" s="606" t="s">
        <v>470</v>
      </c>
      <c r="M4" s="606" t="s">
        <v>461</v>
      </c>
      <c r="N4" s="606" t="s">
        <v>461</v>
      </c>
      <c r="O4" s="606"/>
    </row>
    <row r="5" spans="1:569" ht="15" thickBot="1" x14ac:dyDescent="0.35">
      <c r="A5" s="578"/>
      <c r="B5" s="579"/>
      <c r="C5" s="578"/>
      <c r="D5" s="580"/>
      <c r="E5" s="578"/>
      <c r="F5" s="579"/>
      <c r="G5" s="579"/>
      <c r="H5" s="576"/>
      <c r="K5" s="615"/>
      <c r="L5" s="606" t="s">
        <v>1082</v>
      </c>
      <c r="M5" s="606" t="s">
        <v>461</v>
      </c>
      <c r="N5" s="606" t="s">
        <v>461</v>
      </c>
      <c r="O5" s="606"/>
    </row>
    <row r="6" spans="1:569" ht="15" thickBot="1" x14ac:dyDescent="0.35">
      <c r="A6" s="581" t="s">
        <v>559</v>
      </c>
      <c r="B6" s="582" t="e">
        <f>VLOOKUP(B1,$L$4:$M$555,2,FALSE)</f>
        <v>#N/A</v>
      </c>
      <c r="C6" s="582"/>
      <c r="D6" s="582"/>
      <c r="H6" s="582"/>
      <c r="L6" s="606" t="s">
        <v>1083</v>
      </c>
      <c r="M6" s="606" t="s">
        <v>461</v>
      </c>
      <c r="N6" s="606" t="s">
        <v>461</v>
      </c>
      <c r="O6" s="606"/>
    </row>
    <row r="7" spans="1:569" ht="15" thickBot="1" x14ac:dyDescent="0.35">
      <c r="A7" s="576" t="s">
        <v>652</v>
      </c>
      <c r="B7" s="252" t="e">
        <f>HLOOKUP(B1,'PY1 Data(H)'!D1:CZ277,127,FALSE)+HLOOKUP(B1,'PY1 Data(H)'!D1:CZ277,70,FALSE)</f>
        <v>#N/A</v>
      </c>
      <c r="C7" s="253"/>
      <c r="D7" s="253"/>
      <c r="E7" s="576" t="s">
        <v>563</v>
      </c>
      <c r="F7" s="633">
        <f>Import!L135</f>
        <v>0</v>
      </c>
      <c r="G7" s="582"/>
      <c r="H7" s="576"/>
      <c r="J7" s="606">
        <v>527</v>
      </c>
      <c r="K7" s="615">
        <v>366</v>
      </c>
      <c r="L7" s="609" t="s">
        <v>1084</v>
      </c>
      <c r="M7" s="609" t="s">
        <v>461</v>
      </c>
      <c r="N7" s="609">
        <v>0.05</v>
      </c>
      <c r="O7" s="606" t="s">
        <v>1450</v>
      </c>
    </row>
    <row r="8" spans="1:569" ht="15" thickBot="1" x14ac:dyDescent="0.35">
      <c r="A8" s="576" t="s">
        <v>561</v>
      </c>
      <c r="B8" s="627" t="e">
        <f>IF(B6="N/A","N/A",B6*B7)</f>
        <v>#N/A</v>
      </c>
      <c r="C8" s="254"/>
      <c r="D8" s="254"/>
      <c r="E8" s="629" t="s">
        <v>1086</v>
      </c>
      <c r="F8" s="633">
        <f>Import!L195</f>
        <v>0</v>
      </c>
      <c r="G8" s="575"/>
      <c r="H8" s="576"/>
      <c r="J8" s="614">
        <v>356</v>
      </c>
      <c r="K8" s="606">
        <v>1051</v>
      </c>
      <c r="L8" s="606" t="s">
        <v>1085</v>
      </c>
      <c r="M8" s="606" t="s">
        <v>461</v>
      </c>
      <c r="N8" s="606" t="s">
        <v>461</v>
      </c>
      <c r="O8" s="606"/>
    </row>
    <row r="9" spans="1:569" ht="15" thickBot="1" x14ac:dyDescent="0.35">
      <c r="A9" s="576"/>
      <c r="B9" s="576"/>
      <c r="C9" s="576"/>
      <c r="D9" s="576"/>
      <c r="E9" s="576"/>
      <c r="F9" s="576"/>
      <c r="G9" s="576"/>
      <c r="H9" s="576"/>
      <c r="L9" s="606" t="s">
        <v>471</v>
      </c>
      <c r="M9" s="606" t="s">
        <v>461</v>
      </c>
      <c r="N9" s="606" t="s">
        <v>461</v>
      </c>
      <c r="O9" s="606"/>
    </row>
    <row r="10" spans="1:569" ht="15" thickBot="1" x14ac:dyDescent="0.35">
      <c r="A10" s="581" t="s">
        <v>562</v>
      </c>
      <c r="B10" s="582" t="e">
        <f>VLOOKUP(B1,$L$4:$N$555,3,FALSE)</f>
        <v>#N/A</v>
      </c>
      <c r="C10" s="582"/>
      <c r="D10" s="582"/>
      <c r="E10" s="582"/>
      <c r="F10" s="582"/>
      <c r="G10" s="582"/>
      <c r="H10" s="582"/>
      <c r="L10" s="606" t="s">
        <v>1087</v>
      </c>
      <c r="M10" s="606" t="s">
        <v>461</v>
      </c>
      <c r="N10" s="606" t="s">
        <v>461</v>
      </c>
      <c r="O10" s="606"/>
    </row>
    <row r="11" spans="1:569" ht="15" thickBot="1" x14ac:dyDescent="0.35">
      <c r="A11" s="576" t="s">
        <v>653</v>
      </c>
      <c r="B11" s="583" t="e">
        <f>HLOOKUP(B1,'PY1 Data(H)'!D1:CZ277,35,FALSE)</f>
        <v>#N/A</v>
      </c>
      <c r="C11" s="584"/>
      <c r="D11" s="584"/>
      <c r="E11" s="628" t="s">
        <v>1452</v>
      </c>
      <c r="F11" s="627">
        <f>F7-F8</f>
        <v>0</v>
      </c>
      <c r="G11" s="576"/>
      <c r="H11" s="576"/>
      <c r="J11" s="606">
        <v>93</v>
      </c>
      <c r="L11" s="606" t="s">
        <v>1088</v>
      </c>
      <c r="M11" s="606" t="s">
        <v>461</v>
      </c>
      <c r="N11" s="606" t="s">
        <v>461</v>
      </c>
      <c r="O11" s="606"/>
    </row>
    <row r="12" spans="1:569" ht="15" thickBot="1" x14ac:dyDescent="0.35">
      <c r="A12" s="576" t="s">
        <v>561</v>
      </c>
      <c r="B12" s="627" t="e">
        <f>IF(B10="N/A","N/A",B10*B11)</f>
        <v>#N/A</v>
      </c>
      <c r="C12" s="254"/>
      <c r="D12" s="254"/>
      <c r="G12" s="576"/>
      <c r="H12" s="576"/>
      <c r="L12" s="608" t="s">
        <v>1089</v>
      </c>
      <c r="M12" s="608">
        <v>0.03</v>
      </c>
      <c r="N12" s="608">
        <v>0.05</v>
      </c>
      <c r="O12" s="606" t="s">
        <v>1455</v>
      </c>
      <c r="P12" s="615" t="s">
        <v>1451</v>
      </c>
    </row>
    <row r="13" spans="1:569" x14ac:dyDescent="0.3">
      <c r="A13" s="576"/>
      <c r="B13" s="585"/>
      <c r="C13" s="576"/>
      <c r="D13" s="576"/>
      <c r="E13" s="576"/>
      <c r="F13" s="576"/>
      <c r="G13" s="576"/>
      <c r="H13" s="576"/>
      <c r="L13" s="606" t="s">
        <v>1090</v>
      </c>
      <c r="M13" s="606" t="s">
        <v>461</v>
      </c>
      <c r="N13" s="606" t="s">
        <v>461</v>
      </c>
      <c r="O13" s="606"/>
    </row>
    <row r="14" spans="1:569" x14ac:dyDescent="0.3">
      <c r="A14" s="578"/>
      <c r="B14" s="579"/>
      <c r="C14" s="578"/>
      <c r="D14" s="580"/>
      <c r="E14" s="578"/>
      <c r="F14" s="579"/>
      <c r="G14" s="579"/>
      <c r="H14" s="255"/>
      <c r="L14" s="606" t="s">
        <v>1091</v>
      </c>
      <c r="M14" s="606" t="s">
        <v>461</v>
      </c>
      <c r="N14" s="606" t="s">
        <v>461</v>
      </c>
      <c r="O14" s="606"/>
    </row>
    <row r="15" spans="1:569" ht="15" thickBot="1" x14ac:dyDescent="0.35">
      <c r="A15" s="586" t="s">
        <v>564</v>
      </c>
      <c r="B15" s="576"/>
      <c r="C15" s="576"/>
      <c r="D15" s="576"/>
      <c r="E15" s="586" t="s">
        <v>564</v>
      </c>
      <c r="F15" s="575" t="s">
        <v>565</v>
      </c>
      <c r="G15" s="575" t="s">
        <v>566</v>
      </c>
      <c r="H15" s="576"/>
      <c r="L15" s="606" t="s">
        <v>1092</v>
      </c>
      <c r="M15" s="606" t="s">
        <v>461</v>
      </c>
      <c r="N15" s="606" t="s">
        <v>461</v>
      </c>
      <c r="O15" s="606"/>
    </row>
    <row r="16" spans="1:569" ht="15" thickBot="1" x14ac:dyDescent="0.35">
      <c r="A16" s="576" t="s">
        <v>560</v>
      </c>
      <c r="B16" s="252" t="e">
        <f>+B7</f>
        <v>#N/A</v>
      </c>
      <c r="C16" s="253"/>
      <c r="D16" s="253"/>
      <c r="E16" s="576" t="s">
        <v>567</v>
      </c>
      <c r="F16" s="634">
        <f>Import!L194</f>
        <v>0</v>
      </c>
      <c r="G16" s="594" t="e">
        <f>+B18</f>
        <v>#N/A</v>
      </c>
      <c r="H16" s="576"/>
      <c r="K16" s="606">
        <v>990</v>
      </c>
      <c r="L16" s="606" t="s">
        <v>1093</v>
      </c>
      <c r="M16" s="606" t="s">
        <v>461</v>
      </c>
      <c r="N16" s="606" t="s">
        <v>461</v>
      </c>
      <c r="O16" s="606"/>
    </row>
    <row r="17" spans="1:16" ht="15" thickBot="1" x14ac:dyDescent="0.35">
      <c r="A17" s="576" t="s">
        <v>568</v>
      </c>
      <c r="B17" s="662">
        <f>Import!L209</f>
        <v>0</v>
      </c>
      <c r="C17" s="576"/>
      <c r="D17" s="576"/>
      <c r="E17" s="576"/>
      <c r="F17" s="595"/>
      <c r="G17" s="595"/>
      <c r="H17" s="576"/>
      <c r="J17" s="606">
        <v>648</v>
      </c>
      <c r="L17" s="606" t="s">
        <v>1094</v>
      </c>
      <c r="M17" s="606" t="s">
        <v>461</v>
      </c>
      <c r="N17" s="606" t="s">
        <v>461</v>
      </c>
      <c r="O17" s="606"/>
    </row>
    <row r="18" spans="1:16" ht="29.4" thickBot="1" x14ac:dyDescent="0.35">
      <c r="A18" s="576" t="s">
        <v>561</v>
      </c>
      <c r="B18" s="593" t="e">
        <f>ROUND((B16/100)*B17,0)</f>
        <v>#N/A</v>
      </c>
      <c r="C18" s="256"/>
      <c r="D18" s="254"/>
      <c r="E18" s="587" t="s">
        <v>1096</v>
      </c>
      <c r="F18" s="593">
        <f>IF(F16=0,F11-F16,F11-MAX(F16,G16))</f>
        <v>0</v>
      </c>
      <c r="G18" s="595"/>
      <c r="H18" s="576"/>
      <c r="L18" s="606" t="s">
        <v>473</v>
      </c>
      <c r="M18" s="606" t="s">
        <v>461</v>
      </c>
      <c r="N18" s="606" t="s">
        <v>461</v>
      </c>
      <c r="O18" s="606"/>
    </row>
    <row r="19" spans="1:16" x14ac:dyDescent="0.3">
      <c r="A19" s="576"/>
      <c r="B19" s="576"/>
      <c r="C19" s="576"/>
      <c r="D19" s="588"/>
      <c r="E19" s="576"/>
      <c r="F19" s="526"/>
      <c r="G19" s="256"/>
      <c r="H19" s="576"/>
      <c r="L19" s="606" t="s">
        <v>1095</v>
      </c>
      <c r="M19" s="606" t="s">
        <v>461</v>
      </c>
      <c r="N19" s="606" t="s">
        <v>461</v>
      </c>
      <c r="O19" s="606"/>
    </row>
    <row r="20" spans="1:16" x14ac:dyDescent="0.3">
      <c r="A20" s="578"/>
      <c r="B20" s="579"/>
      <c r="C20" s="578"/>
      <c r="D20" s="576"/>
      <c r="E20" s="578"/>
      <c r="F20" s="579"/>
      <c r="G20" s="579"/>
      <c r="H20" s="576"/>
      <c r="L20" s="606" t="s">
        <v>1097</v>
      </c>
      <c r="M20" s="606" t="s">
        <v>461</v>
      </c>
      <c r="N20" s="606" t="s">
        <v>461</v>
      </c>
      <c r="O20" s="606"/>
    </row>
    <row r="21" spans="1:16" ht="15" thickBot="1" x14ac:dyDescent="0.35">
      <c r="A21" s="576"/>
      <c r="B21" s="576"/>
      <c r="C21" s="576"/>
      <c r="D21" s="576"/>
      <c r="E21" s="586" t="s">
        <v>569</v>
      </c>
      <c r="F21" s="586"/>
      <c r="G21" s="586"/>
      <c r="H21" s="576"/>
      <c r="L21" s="606" t="s">
        <v>800</v>
      </c>
      <c r="M21" s="606" t="s">
        <v>461</v>
      </c>
      <c r="N21" s="606" t="s">
        <v>461</v>
      </c>
      <c r="O21" s="606"/>
    </row>
    <row r="22" spans="1:16" ht="15" thickBot="1" x14ac:dyDescent="0.35">
      <c r="A22" s="576"/>
      <c r="B22" s="635"/>
      <c r="C22" s="576"/>
      <c r="D22" s="580"/>
      <c r="E22" s="576" t="s">
        <v>570</v>
      </c>
      <c r="F22" s="596" t="e">
        <f>MAX(B8,B12)</f>
        <v>#N/A</v>
      </c>
      <c r="G22" s="588"/>
      <c r="H22" s="254"/>
      <c r="L22" s="606" t="s">
        <v>1098</v>
      </c>
      <c r="M22" s="606" t="s">
        <v>461</v>
      </c>
      <c r="N22" s="606" t="s">
        <v>461</v>
      </c>
      <c r="O22" s="606"/>
    </row>
    <row r="23" spans="1:16" ht="15" thickBot="1" x14ac:dyDescent="0.35">
      <c r="A23" s="576"/>
      <c r="B23" s="635"/>
      <c r="C23" s="576"/>
      <c r="D23" s="586"/>
      <c r="E23" s="576"/>
      <c r="F23" s="647"/>
      <c r="G23" s="588"/>
      <c r="H23" s="254"/>
      <c r="L23" s="606" t="s">
        <v>1099</v>
      </c>
      <c r="M23" s="606" t="s">
        <v>461</v>
      </c>
      <c r="N23" s="606" t="s">
        <v>461</v>
      </c>
      <c r="O23" s="606"/>
    </row>
    <row r="24" spans="1:16" ht="15" thickBot="1" x14ac:dyDescent="0.35">
      <c r="B24" s="632"/>
      <c r="D24" s="588"/>
      <c r="E24" s="576" t="s">
        <v>571</v>
      </c>
      <c r="F24" s="597">
        <f>IF(F7=0,0,IF(F18&lt;=F22,"Yes", "No, unit exceeds limit by:"))</f>
        <v>0</v>
      </c>
      <c r="G24" s="576"/>
      <c r="H24" s="576"/>
      <c r="L24" s="608" t="s">
        <v>801</v>
      </c>
      <c r="M24" s="608">
        <v>0.03</v>
      </c>
      <c r="N24" s="608">
        <v>0.05</v>
      </c>
      <c r="O24" s="606" t="s">
        <v>1455</v>
      </c>
      <c r="P24" s="615" t="s">
        <v>1451</v>
      </c>
    </row>
    <row r="25" spans="1:16" ht="15" thickBot="1" x14ac:dyDescent="0.35">
      <c r="B25" s="632"/>
      <c r="C25" s="576"/>
      <c r="D25" s="588"/>
      <c r="E25" s="576"/>
      <c r="F25" s="597" t="e">
        <f>IF(F18-F22&lt;=0,0,F18-F22)</f>
        <v>#N/A</v>
      </c>
      <c r="G25" s="257"/>
      <c r="H25" s="586"/>
      <c r="L25" s="606" t="s">
        <v>474</v>
      </c>
      <c r="M25" s="606" t="s">
        <v>461</v>
      </c>
      <c r="N25" s="606" t="s">
        <v>461</v>
      </c>
      <c r="O25" s="606"/>
    </row>
    <row r="26" spans="1:16" ht="15" thickBot="1" x14ac:dyDescent="0.35">
      <c r="B26" s="632"/>
      <c r="C26" s="576"/>
      <c r="D26" s="589"/>
      <c r="E26" s="576"/>
      <c r="F26" s="595"/>
      <c r="G26" s="576"/>
      <c r="H26" s="576"/>
      <c r="L26" s="606" t="s">
        <v>802</v>
      </c>
      <c r="M26" s="606" t="s">
        <v>461</v>
      </c>
      <c r="N26" s="606" t="s">
        <v>461</v>
      </c>
      <c r="O26" s="606"/>
    </row>
    <row r="27" spans="1:16" x14ac:dyDescent="0.3">
      <c r="A27" s="576"/>
      <c r="B27" s="635"/>
      <c r="C27" s="576"/>
      <c r="D27" s="589"/>
      <c r="E27" s="590" t="s">
        <v>572</v>
      </c>
      <c r="F27" s="598">
        <f>IF(F16=0,0,F16-G16)</f>
        <v>0</v>
      </c>
      <c r="G27" s="576"/>
      <c r="H27" s="576"/>
      <c r="L27" s="606" t="s">
        <v>1100</v>
      </c>
      <c r="M27" s="606" t="s">
        <v>461</v>
      </c>
      <c r="N27" s="606" t="s">
        <v>461</v>
      </c>
      <c r="O27" s="606"/>
    </row>
    <row r="28" spans="1:16" ht="33.75" customHeight="1" thickBot="1" x14ac:dyDescent="0.35">
      <c r="A28" s="576"/>
      <c r="B28" s="635"/>
      <c r="C28" s="576"/>
      <c r="D28" s="576"/>
      <c r="E28" s="576"/>
      <c r="F28" s="258" t="str">
        <f>IF(F27=0,"","Investigate")</f>
        <v/>
      </c>
      <c r="G28" s="576"/>
      <c r="H28" s="576"/>
      <c r="L28" s="606" t="s">
        <v>1101</v>
      </c>
      <c r="M28" s="606" t="s">
        <v>461</v>
      </c>
      <c r="N28" s="606" t="s">
        <v>461</v>
      </c>
      <c r="O28" s="606"/>
    </row>
    <row r="29" spans="1:16" x14ac:dyDescent="0.3">
      <c r="A29" s="580"/>
      <c r="B29" s="576"/>
      <c r="C29" s="576"/>
      <c r="D29" s="576"/>
      <c r="E29" s="580" t="s">
        <v>573</v>
      </c>
      <c r="F29" s="576"/>
      <c r="G29" s="576"/>
      <c r="H29" s="576"/>
      <c r="L29" s="606" t="s">
        <v>1102</v>
      </c>
      <c r="M29" s="606" t="s">
        <v>461</v>
      </c>
      <c r="N29" s="606" t="s">
        <v>461</v>
      </c>
      <c r="O29" s="606"/>
    </row>
    <row r="30" spans="1:16" ht="14.4" customHeight="1" x14ac:dyDescent="0.3">
      <c r="A30" s="591"/>
      <c r="B30" s="591"/>
      <c r="C30" s="591"/>
      <c r="D30" s="576"/>
      <c r="E30" s="1177" t="s">
        <v>1487</v>
      </c>
      <c r="F30" s="1178"/>
      <c r="G30" s="1179"/>
      <c r="H30" s="576"/>
      <c r="L30" s="606" t="s">
        <v>475</v>
      </c>
      <c r="M30" s="606" t="s">
        <v>461</v>
      </c>
      <c r="N30" s="606" t="s">
        <v>461</v>
      </c>
      <c r="O30" s="606"/>
    </row>
    <row r="31" spans="1:16" x14ac:dyDescent="0.3">
      <c r="A31" s="576"/>
      <c r="B31" s="576"/>
      <c r="C31" s="591"/>
      <c r="D31" s="576"/>
      <c r="E31" s="1180"/>
      <c r="F31" s="1181"/>
      <c r="G31" s="1182"/>
      <c r="H31" s="576"/>
      <c r="L31" s="606" t="s">
        <v>1103</v>
      </c>
      <c r="M31" s="606" t="s">
        <v>461</v>
      </c>
      <c r="N31" s="606" t="s">
        <v>461</v>
      </c>
      <c r="O31" s="606"/>
    </row>
    <row r="32" spans="1:16" x14ac:dyDescent="0.3">
      <c r="A32" s="591"/>
      <c r="B32" s="591"/>
      <c r="C32" s="591"/>
      <c r="D32" s="576"/>
      <c r="E32" s="1180"/>
      <c r="F32" s="1181"/>
      <c r="G32" s="1182"/>
      <c r="L32" s="606" t="s">
        <v>1104</v>
      </c>
      <c r="M32" s="606" t="s">
        <v>461</v>
      </c>
      <c r="N32" s="606" t="s">
        <v>461</v>
      </c>
      <c r="O32" s="606"/>
    </row>
    <row r="33" spans="1:16" ht="30" customHeight="1" x14ac:dyDescent="0.3">
      <c r="A33" s="591"/>
      <c r="B33" s="591"/>
      <c r="C33" s="591"/>
      <c r="D33" s="576"/>
      <c r="E33" s="1183"/>
      <c r="F33" s="1184"/>
      <c r="G33" s="1185"/>
      <c r="L33" s="606" t="s">
        <v>1105</v>
      </c>
      <c r="M33" s="606" t="s">
        <v>461</v>
      </c>
      <c r="N33" s="606" t="s">
        <v>461</v>
      </c>
      <c r="O33" s="606"/>
    </row>
    <row r="34" spans="1:16" x14ac:dyDescent="0.3">
      <c r="A34" s="591"/>
      <c r="B34" s="591"/>
      <c r="C34" s="591"/>
      <c r="D34" s="576"/>
      <c r="E34" s="592"/>
      <c r="F34" s="592"/>
      <c r="G34" s="592"/>
      <c r="L34" s="606" t="s">
        <v>1106</v>
      </c>
      <c r="M34" s="606" t="s">
        <v>461</v>
      </c>
      <c r="N34" s="606" t="s">
        <v>461</v>
      </c>
      <c r="O34" s="606"/>
    </row>
    <row r="35" spans="1:16" x14ac:dyDescent="0.3">
      <c r="A35" s="591"/>
      <c r="B35" s="591"/>
      <c r="C35" s="591"/>
      <c r="D35" s="576"/>
      <c r="E35" s="1177" t="s">
        <v>1418</v>
      </c>
      <c r="F35" s="1178"/>
      <c r="G35" s="1179"/>
      <c r="L35" s="608" t="s">
        <v>476</v>
      </c>
      <c r="M35" s="608">
        <v>0.03</v>
      </c>
      <c r="N35" s="608">
        <v>0.05</v>
      </c>
      <c r="O35" s="606" t="s">
        <v>1455</v>
      </c>
      <c r="P35" s="615" t="s">
        <v>1451</v>
      </c>
    </row>
    <row r="36" spans="1:16" x14ac:dyDescent="0.3">
      <c r="A36" s="576"/>
      <c r="B36" s="576"/>
      <c r="C36" s="576"/>
      <c r="D36" s="576"/>
      <c r="E36" s="1180"/>
      <c r="F36" s="1186"/>
      <c r="G36" s="1182"/>
      <c r="L36" s="606" t="s">
        <v>803</v>
      </c>
      <c r="M36" s="606" t="s">
        <v>461</v>
      </c>
      <c r="N36" s="606" t="s">
        <v>461</v>
      </c>
      <c r="O36" s="606"/>
    </row>
    <row r="37" spans="1:16" x14ac:dyDescent="0.3">
      <c r="A37" s="576"/>
      <c r="B37" s="576"/>
      <c r="C37" s="576"/>
      <c r="D37" s="576"/>
      <c r="E37" s="1183"/>
      <c r="F37" s="1184"/>
      <c r="G37" s="1185"/>
      <c r="L37" s="606" t="s">
        <v>477</v>
      </c>
      <c r="M37" s="606" t="s">
        <v>461</v>
      </c>
      <c r="N37" s="606" t="s">
        <v>461</v>
      </c>
      <c r="O37" s="606"/>
    </row>
    <row r="38" spans="1:16" x14ac:dyDescent="0.3">
      <c r="A38" s="576"/>
      <c r="B38" s="576"/>
      <c r="C38" s="576"/>
      <c r="D38" s="576"/>
      <c r="E38" s="576"/>
      <c r="F38" s="576"/>
      <c r="G38" s="576"/>
      <c r="L38" s="606" t="s">
        <v>1108</v>
      </c>
      <c r="M38" s="606" t="s">
        <v>461</v>
      </c>
      <c r="N38" s="606" t="s">
        <v>461</v>
      </c>
      <c r="O38" s="606"/>
    </row>
    <row r="39" spans="1:16" ht="15" thickBot="1" x14ac:dyDescent="0.35">
      <c r="C39" s="576"/>
      <c r="D39" s="576"/>
      <c r="E39" s="1187" t="s">
        <v>574</v>
      </c>
      <c r="F39" s="1187"/>
      <c r="G39" s="1187"/>
      <c r="L39" s="608" t="s">
        <v>1109</v>
      </c>
      <c r="M39" s="608">
        <v>0.03</v>
      </c>
      <c r="N39" s="608">
        <v>0.05</v>
      </c>
      <c r="O39" s="606" t="s">
        <v>1455</v>
      </c>
      <c r="P39" s="615" t="s">
        <v>1451</v>
      </c>
    </row>
    <row r="40" spans="1:16" x14ac:dyDescent="0.3">
      <c r="A40" s="576"/>
      <c r="B40" s="576"/>
      <c r="C40" s="576"/>
      <c r="D40" s="576"/>
      <c r="E40" s="1166"/>
      <c r="F40" s="1167"/>
      <c r="G40" s="1168"/>
      <c r="L40" s="606" t="s">
        <v>1110</v>
      </c>
      <c r="M40" s="606" t="s">
        <v>461</v>
      </c>
      <c r="N40" s="606" t="s">
        <v>461</v>
      </c>
      <c r="O40" s="606"/>
    </row>
    <row r="41" spans="1:16" x14ac:dyDescent="0.3">
      <c r="A41" s="576"/>
      <c r="B41" s="576"/>
      <c r="C41" s="576"/>
      <c r="D41" s="576"/>
      <c r="E41" s="1169"/>
      <c r="F41" s="1170"/>
      <c r="G41" s="1171"/>
      <c r="L41" s="606" t="s">
        <v>1111</v>
      </c>
      <c r="M41" s="606" t="s">
        <v>461</v>
      </c>
      <c r="N41" s="606" t="s">
        <v>461</v>
      </c>
      <c r="O41" s="606"/>
    </row>
    <row r="42" spans="1:16" x14ac:dyDescent="0.3">
      <c r="A42" s="576"/>
      <c r="B42" s="576"/>
      <c r="C42" s="576"/>
      <c r="D42" s="576"/>
      <c r="E42" s="1169"/>
      <c r="F42" s="1170"/>
      <c r="G42" s="1171"/>
      <c r="L42" s="606" t="s">
        <v>1107</v>
      </c>
      <c r="M42" s="606" t="s">
        <v>461</v>
      </c>
      <c r="N42" s="606" t="s">
        <v>461</v>
      </c>
      <c r="O42" s="606"/>
    </row>
    <row r="43" spans="1:16" x14ac:dyDescent="0.3">
      <c r="A43" s="576"/>
      <c r="B43" s="576"/>
      <c r="C43" s="576"/>
      <c r="D43" s="576"/>
      <c r="E43" s="1169"/>
      <c r="F43" s="1170"/>
      <c r="G43" s="1171"/>
      <c r="L43" s="606" t="s">
        <v>479</v>
      </c>
      <c r="M43" s="606" t="s">
        <v>461</v>
      </c>
      <c r="N43" s="606" t="s">
        <v>461</v>
      </c>
      <c r="O43" s="606"/>
    </row>
    <row r="44" spans="1:16" x14ac:dyDescent="0.3">
      <c r="D44" s="576"/>
      <c r="E44" s="1169"/>
      <c r="F44" s="1170"/>
      <c r="G44" s="1171"/>
      <c r="L44" s="606" t="s">
        <v>1112</v>
      </c>
      <c r="M44" s="606" t="s">
        <v>461</v>
      </c>
      <c r="N44" s="606" t="s">
        <v>461</v>
      </c>
      <c r="O44" s="606"/>
    </row>
    <row r="45" spans="1:16" x14ac:dyDescent="0.3">
      <c r="D45" s="576"/>
      <c r="E45" s="1169"/>
      <c r="F45" s="1170"/>
      <c r="G45" s="1171"/>
      <c r="L45" s="606" t="s">
        <v>1113</v>
      </c>
      <c r="M45" s="606" t="s">
        <v>461</v>
      </c>
      <c r="N45" s="606" t="s">
        <v>461</v>
      </c>
      <c r="O45" s="606"/>
    </row>
    <row r="46" spans="1:16" x14ac:dyDescent="0.3">
      <c r="E46" s="1169"/>
      <c r="F46" s="1170"/>
      <c r="G46" s="1171"/>
      <c r="L46" s="606" t="s">
        <v>1114</v>
      </c>
      <c r="M46" s="606" t="s">
        <v>461</v>
      </c>
      <c r="N46" s="606" t="s">
        <v>461</v>
      </c>
      <c r="O46" s="606"/>
    </row>
    <row r="47" spans="1:16" x14ac:dyDescent="0.3">
      <c r="E47" s="1169"/>
      <c r="F47" s="1170"/>
      <c r="G47" s="1171"/>
      <c r="L47" s="606" t="s">
        <v>480</v>
      </c>
      <c r="M47" s="606" t="s">
        <v>461</v>
      </c>
      <c r="N47" s="606" t="s">
        <v>461</v>
      </c>
      <c r="O47" s="606" t="s">
        <v>1546</v>
      </c>
    </row>
    <row r="48" spans="1:16" x14ac:dyDescent="0.3">
      <c r="E48" s="1169"/>
      <c r="F48" s="1170"/>
      <c r="G48" s="1171"/>
      <c r="L48" s="606" t="s">
        <v>1115</v>
      </c>
      <c r="M48" s="606" t="s">
        <v>461</v>
      </c>
      <c r="N48" s="606" t="s">
        <v>461</v>
      </c>
      <c r="O48" s="606"/>
    </row>
    <row r="49" spans="5:15" x14ac:dyDescent="0.3">
      <c r="E49" s="1169"/>
      <c r="F49" s="1170"/>
      <c r="G49" s="1171"/>
      <c r="L49" s="606" t="s">
        <v>1116</v>
      </c>
      <c r="M49" s="606" t="s">
        <v>461</v>
      </c>
      <c r="N49" s="606" t="s">
        <v>461</v>
      </c>
      <c r="O49" s="606"/>
    </row>
    <row r="50" spans="5:15" x14ac:dyDescent="0.3">
      <c r="E50" s="1169"/>
      <c r="F50" s="1170"/>
      <c r="G50" s="1171"/>
      <c r="L50" s="606" t="s">
        <v>1117</v>
      </c>
      <c r="M50" s="606" t="s">
        <v>461</v>
      </c>
      <c r="N50" s="606" t="s">
        <v>461</v>
      </c>
      <c r="O50" s="606"/>
    </row>
    <row r="51" spans="5:15" ht="15" thickBot="1" x14ac:dyDescent="0.35">
      <c r="E51" s="1172"/>
      <c r="F51" s="1173"/>
      <c r="G51" s="1174"/>
      <c r="L51" s="606" t="s">
        <v>481</v>
      </c>
      <c r="M51" s="606" t="s">
        <v>461</v>
      </c>
      <c r="N51" s="606" t="s">
        <v>461</v>
      </c>
      <c r="O51" s="606"/>
    </row>
    <row r="52" spans="5:15" x14ac:dyDescent="0.3">
      <c r="L52" s="606" t="s">
        <v>1118</v>
      </c>
      <c r="M52" s="606" t="s">
        <v>461</v>
      </c>
      <c r="N52" s="606" t="s">
        <v>461</v>
      </c>
      <c r="O52" s="606"/>
    </row>
    <row r="53" spans="5:15" x14ac:dyDescent="0.3">
      <c r="L53" s="606" t="s">
        <v>1120</v>
      </c>
      <c r="M53" s="606" t="s">
        <v>461</v>
      </c>
      <c r="N53" s="606" t="s">
        <v>461</v>
      </c>
      <c r="O53" s="606"/>
    </row>
    <row r="54" spans="5:15" x14ac:dyDescent="0.3">
      <c r="L54" s="606" t="s">
        <v>1119</v>
      </c>
      <c r="M54" s="606" t="s">
        <v>461</v>
      </c>
      <c r="N54" s="606" t="s">
        <v>461</v>
      </c>
      <c r="O54" s="606"/>
    </row>
    <row r="55" spans="5:15" x14ac:dyDescent="0.3">
      <c r="L55" s="606" t="s">
        <v>1121</v>
      </c>
      <c r="M55" s="606" t="s">
        <v>461</v>
      </c>
      <c r="N55" s="606" t="s">
        <v>461</v>
      </c>
      <c r="O55" s="606"/>
    </row>
    <row r="56" spans="5:15" x14ac:dyDescent="0.3">
      <c r="L56" s="606" t="s">
        <v>482</v>
      </c>
      <c r="M56" s="606" t="s">
        <v>461</v>
      </c>
      <c r="N56" s="606" t="s">
        <v>461</v>
      </c>
      <c r="O56" s="606"/>
    </row>
    <row r="57" spans="5:15" x14ac:dyDescent="0.3">
      <c r="L57" s="606" t="s">
        <v>1122</v>
      </c>
      <c r="M57" s="606" t="s">
        <v>461</v>
      </c>
      <c r="N57" s="606" t="s">
        <v>461</v>
      </c>
      <c r="O57" s="606"/>
    </row>
    <row r="58" spans="5:15" x14ac:dyDescent="0.3">
      <c r="L58" s="606" t="s">
        <v>1123</v>
      </c>
      <c r="M58" s="606" t="s">
        <v>461</v>
      </c>
      <c r="N58" s="606" t="s">
        <v>461</v>
      </c>
      <c r="O58" s="606"/>
    </row>
    <row r="59" spans="5:15" x14ac:dyDescent="0.3">
      <c r="L59" s="609" t="s">
        <v>1124</v>
      </c>
      <c r="M59" s="609">
        <v>0.15</v>
      </c>
      <c r="N59" s="609" t="s">
        <v>461</v>
      </c>
      <c r="O59" s="606" t="s">
        <v>1450</v>
      </c>
    </row>
    <row r="60" spans="5:15" x14ac:dyDescent="0.3">
      <c r="L60" s="606" t="s">
        <v>483</v>
      </c>
      <c r="M60" s="606" t="s">
        <v>461</v>
      </c>
      <c r="N60" s="606" t="s">
        <v>461</v>
      </c>
      <c r="O60" s="606"/>
    </row>
    <row r="61" spans="5:15" x14ac:dyDescent="0.3">
      <c r="L61" s="606" t="s">
        <v>1125</v>
      </c>
      <c r="M61" s="606" t="s">
        <v>461</v>
      </c>
      <c r="N61" s="606" t="s">
        <v>461</v>
      </c>
      <c r="O61" s="606"/>
    </row>
    <row r="62" spans="5:15" x14ac:dyDescent="0.3">
      <c r="L62" s="606" t="s">
        <v>1126</v>
      </c>
      <c r="M62" s="606" t="s">
        <v>461</v>
      </c>
      <c r="N62" s="606" t="s">
        <v>461</v>
      </c>
      <c r="O62" s="606"/>
    </row>
    <row r="63" spans="5:15" x14ac:dyDescent="0.3">
      <c r="L63" s="606" t="s">
        <v>1127</v>
      </c>
      <c r="M63" s="606" t="s">
        <v>461</v>
      </c>
      <c r="N63" s="606" t="s">
        <v>461</v>
      </c>
      <c r="O63" s="606"/>
    </row>
    <row r="64" spans="5:15" x14ac:dyDescent="0.3">
      <c r="L64" s="606" t="s">
        <v>1128</v>
      </c>
      <c r="M64" s="606" t="s">
        <v>461</v>
      </c>
      <c r="N64" s="606" t="s">
        <v>461</v>
      </c>
      <c r="O64" s="606"/>
    </row>
    <row r="65" spans="12:15" x14ac:dyDescent="0.3">
      <c r="L65" s="606" t="s">
        <v>1129</v>
      </c>
      <c r="M65" s="606" t="s">
        <v>461</v>
      </c>
      <c r="N65" s="606" t="s">
        <v>461</v>
      </c>
      <c r="O65" s="606"/>
    </row>
    <row r="66" spans="12:15" x14ac:dyDescent="0.3">
      <c r="L66" s="606" t="s">
        <v>804</v>
      </c>
      <c r="M66" s="606" t="s">
        <v>461</v>
      </c>
      <c r="N66" s="606" t="s">
        <v>461</v>
      </c>
      <c r="O66" s="606"/>
    </row>
    <row r="67" spans="12:15" x14ac:dyDescent="0.3">
      <c r="L67" s="606" t="s">
        <v>1130</v>
      </c>
      <c r="M67" s="606" t="s">
        <v>461</v>
      </c>
      <c r="N67" s="606" t="s">
        <v>461</v>
      </c>
      <c r="O67" s="606"/>
    </row>
    <row r="68" spans="12:15" x14ac:dyDescent="0.3">
      <c r="L68" s="606" t="s">
        <v>1131</v>
      </c>
      <c r="M68" s="606" t="s">
        <v>461</v>
      </c>
      <c r="N68" s="606" t="s">
        <v>461</v>
      </c>
      <c r="O68" s="606"/>
    </row>
    <row r="69" spans="12:15" x14ac:dyDescent="0.3">
      <c r="L69" s="606" t="s">
        <v>1132</v>
      </c>
      <c r="M69" s="606" t="s">
        <v>461</v>
      </c>
      <c r="N69" s="606" t="s">
        <v>461</v>
      </c>
      <c r="O69" s="606"/>
    </row>
    <row r="70" spans="12:15" x14ac:dyDescent="0.3">
      <c r="L70" s="606" t="s">
        <v>1133</v>
      </c>
      <c r="M70" s="606" t="s">
        <v>461</v>
      </c>
      <c r="N70" s="606" t="s">
        <v>461</v>
      </c>
      <c r="O70" s="606"/>
    </row>
    <row r="71" spans="12:15" x14ac:dyDescent="0.3">
      <c r="L71" s="606" t="s">
        <v>1134</v>
      </c>
      <c r="M71" s="606" t="s">
        <v>461</v>
      </c>
      <c r="N71" s="606" t="s">
        <v>461</v>
      </c>
      <c r="O71" s="606"/>
    </row>
    <row r="72" spans="12:15" x14ac:dyDescent="0.3">
      <c r="L72" s="606" t="s">
        <v>1135</v>
      </c>
      <c r="M72" s="606" t="s">
        <v>461</v>
      </c>
      <c r="N72" s="606" t="s">
        <v>461</v>
      </c>
      <c r="O72" s="606"/>
    </row>
    <row r="73" spans="12:15" x14ac:dyDescent="0.3">
      <c r="L73" s="606" t="s">
        <v>1136</v>
      </c>
      <c r="M73" s="606" t="s">
        <v>461</v>
      </c>
      <c r="N73" s="606" t="s">
        <v>461</v>
      </c>
      <c r="O73" s="606"/>
    </row>
    <row r="74" spans="12:15" x14ac:dyDescent="0.3">
      <c r="L74" s="606" t="s">
        <v>1137</v>
      </c>
      <c r="M74" s="606" t="s">
        <v>461</v>
      </c>
      <c r="N74" s="606" t="s">
        <v>461</v>
      </c>
      <c r="O74" s="606"/>
    </row>
    <row r="75" spans="12:15" x14ac:dyDescent="0.3">
      <c r="L75" s="606" t="s">
        <v>1138</v>
      </c>
      <c r="M75" s="606" t="s">
        <v>461</v>
      </c>
      <c r="N75" s="606" t="s">
        <v>461</v>
      </c>
      <c r="O75" s="606"/>
    </row>
    <row r="76" spans="12:15" x14ac:dyDescent="0.3">
      <c r="L76" s="606" t="s">
        <v>1139</v>
      </c>
      <c r="M76" s="606" t="s">
        <v>461</v>
      </c>
      <c r="N76" s="606" t="s">
        <v>461</v>
      </c>
      <c r="O76" s="606"/>
    </row>
    <row r="77" spans="12:15" x14ac:dyDescent="0.3">
      <c r="L77" s="606" t="s">
        <v>1140</v>
      </c>
      <c r="M77" s="606" t="s">
        <v>461</v>
      </c>
      <c r="N77" s="606" t="s">
        <v>461</v>
      </c>
      <c r="O77" s="606"/>
    </row>
    <row r="78" spans="12:15" x14ac:dyDescent="0.3">
      <c r="L78" s="606" t="s">
        <v>1141</v>
      </c>
      <c r="M78" s="606" t="s">
        <v>461</v>
      </c>
      <c r="N78" s="606" t="s">
        <v>461</v>
      </c>
      <c r="O78" s="606"/>
    </row>
    <row r="79" spans="12:15" x14ac:dyDescent="0.3">
      <c r="L79" s="606" t="s">
        <v>1142</v>
      </c>
      <c r="M79" s="606" t="s">
        <v>461</v>
      </c>
      <c r="N79" s="606" t="s">
        <v>461</v>
      </c>
      <c r="O79" s="606"/>
    </row>
    <row r="80" spans="12:15" x14ac:dyDescent="0.3">
      <c r="L80" s="606" t="s">
        <v>1143</v>
      </c>
      <c r="M80" s="606" t="s">
        <v>461</v>
      </c>
      <c r="N80" s="606" t="s">
        <v>461</v>
      </c>
      <c r="O80" s="606"/>
    </row>
    <row r="81" spans="12:15" x14ac:dyDescent="0.3">
      <c r="L81" s="606" t="s">
        <v>1144</v>
      </c>
      <c r="M81" s="606" t="s">
        <v>461</v>
      </c>
      <c r="N81" s="606" t="s">
        <v>461</v>
      </c>
      <c r="O81" s="606"/>
    </row>
    <row r="82" spans="12:15" x14ac:dyDescent="0.3">
      <c r="L82" s="606" t="s">
        <v>1145</v>
      </c>
      <c r="M82" s="606" t="s">
        <v>461</v>
      </c>
      <c r="N82" s="606" t="s">
        <v>461</v>
      </c>
      <c r="O82" s="606"/>
    </row>
    <row r="83" spans="12:15" x14ac:dyDescent="0.3">
      <c r="L83" s="606" t="s">
        <v>805</v>
      </c>
      <c r="M83" s="606" t="s">
        <v>461</v>
      </c>
      <c r="N83" s="606" t="s">
        <v>461</v>
      </c>
      <c r="O83" s="606"/>
    </row>
    <row r="84" spans="12:15" x14ac:dyDescent="0.3">
      <c r="L84" s="606" t="s">
        <v>484</v>
      </c>
      <c r="M84" s="606" t="s">
        <v>461</v>
      </c>
      <c r="N84" s="606" t="s">
        <v>461</v>
      </c>
      <c r="O84" s="606"/>
    </row>
    <row r="85" spans="12:15" x14ac:dyDescent="0.3">
      <c r="L85" s="606" t="s">
        <v>1146</v>
      </c>
      <c r="M85" s="606" t="s">
        <v>461</v>
      </c>
      <c r="N85" s="606" t="s">
        <v>461</v>
      </c>
      <c r="O85" s="606"/>
    </row>
    <row r="86" spans="12:15" x14ac:dyDescent="0.3">
      <c r="L86" s="606" t="s">
        <v>1147</v>
      </c>
      <c r="M86" s="606" t="s">
        <v>461</v>
      </c>
      <c r="N86" s="606" t="s">
        <v>461</v>
      </c>
      <c r="O86" s="606"/>
    </row>
    <row r="87" spans="12:15" x14ac:dyDescent="0.3">
      <c r="L87" s="606" t="s">
        <v>1148</v>
      </c>
      <c r="M87" s="606" t="s">
        <v>461</v>
      </c>
      <c r="N87" s="606" t="s">
        <v>461</v>
      </c>
      <c r="O87" s="606"/>
    </row>
    <row r="88" spans="12:15" x14ac:dyDescent="0.3">
      <c r="L88" s="606" t="s">
        <v>1149</v>
      </c>
      <c r="M88" s="606" t="s">
        <v>461</v>
      </c>
      <c r="N88" s="606" t="s">
        <v>461</v>
      </c>
      <c r="O88" s="606"/>
    </row>
    <row r="89" spans="12:15" x14ac:dyDescent="0.3">
      <c r="L89" s="606" t="s">
        <v>485</v>
      </c>
      <c r="M89" s="606" t="s">
        <v>461</v>
      </c>
      <c r="N89" s="606" t="s">
        <v>461</v>
      </c>
      <c r="O89" s="606"/>
    </row>
    <row r="90" spans="12:15" x14ac:dyDescent="0.3">
      <c r="L90" s="606" t="s">
        <v>1150</v>
      </c>
      <c r="M90" s="606" t="s">
        <v>461</v>
      </c>
      <c r="N90" s="606" t="s">
        <v>461</v>
      </c>
      <c r="O90" s="606"/>
    </row>
    <row r="91" spans="12:15" x14ac:dyDescent="0.3">
      <c r="L91" s="606" t="s">
        <v>392</v>
      </c>
      <c r="M91" s="606" t="s">
        <v>461</v>
      </c>
      <c r="N91" s="606" t="s">
        <v>461</v>
      </c>
      <c r="O91" s="606"/>
    </row>
    <row r="92" spans="12:15" x14ac:dyDescent="0.3">
      <c r="L92" s="606" t="s">
        <v>393</v>
      </c>
      <c r="M92" s="606" t="s">
        <v>461</v>
      </c>
      <c r="N92" s="606" t="s">
        <v>461</v>
      </c>
      <c r="O92" s="606"/>
    </row>
    <row r="93" spans="12:15" x14ac:dyDescent="0.3">
      <c r="L93" s="609" t="s">
        <v>1151</v>
      </c>
      <c r="M93" s="609">
        <v>0.05</v>
      </c>
      <c r="N93" s="609" t="s">
        <v>461</v>
      </c>
      <c r="O93" s="606" t="s">
        <v>1450</v>
      </c>
    </row>
    <row r="94" spans="12:15" x14ac:dyDescent="0.3">
      <c r="L94" s="606" t="s">
        <v>486</v>
      </c>
      <c r="M94" s="606" t="s">
        <v>461</v>
      </c>
      <c r="N94" s="606" t="s">
        <v>461</v>
      </c>
      <c r="O94" s="606"/>
    </row>
    <row r="95" spans="12:15" x14ac:dyDescent="0.3">
      <c r="L95" s="606" t="s">
        <v>1152</v>
      </c>
      <c r="M95" s="606" t="s">
        <v>461</v>
      </c>
      <c r="N95" s="606" t="s">
        <v>461</v>
      </c>
      <c r="O95" s="606"/>
    </row>
    <row r="96" spans="12:15" x14ac:dyDescent="0.3">
      <c r="L96" s="606" t="s">
        <v>806</v>
      </c>
      <c r="M96" s="606" t="s">
        <v>461</v>
      </c>
      <c r="N96" s="606" t="s">
        <v>461</v>
      </c>
      <c r="O96" s="606"/>
    </row>
    <row r="97" spans="12:16" x14ac:dyDescent="0.3">
      <c r="L97" s="606" t="s">
        <v>1153</v>
      </c>
      <c r="M97" s="606" t="s">
        <v>461</v>
      </c>
      <c r="N97" s="606" t="s">
        <v>461</v>
      </c>
      <c r="O97" s="606"/>
    </row>
    <row r="98" spans="12:16" x14ac:dyDescent="0.3">
      <c r="L98" s="606" t="s">
        <v>807</v>
      </c>
      <c r="M98" s="606" t="s">
        <v>461</v>
      </c>
      <c r="N98" s="606" t="s">
        <v>461</v>
      </c>
      <c r="O98" s="606"/>
    </row>
    <row r="99" spans="12:16" x14ac:dyDescent="0.3">
      <c r="L99" s="608" t="s">
        <v>1154</v>
      </c>
      <c r="M99" s="608">
        <v>0.03</v>
      </c>
      <c r="N99" s="608">
        <v>0.05</v>
      </c>
      <c r="O99" s="606" t="s">
        <v>1455</v>
      </c>
      <c r="P99" s="615" t="s">
        <v>1451</v>
      </c>
    </row>
    <row r="100" spans="12:16" x14ac:dyDescent="0.3">
      <c r="L100" s="606" t="s">
        <v>1155</v>
      </c>
      <c r="M100" s="606" t="s">
        <v>461</v>
      </c>
      <c r="N100" s="606" t="s">
        <v>461</v>
      </c>
      <c r="O100" s="606"/>
    </row>
    <row r="101" spans="12:16" x14ac:dyDescent="0.3">
      <c r="L101" s="606" t="s">
        <v>1156</v>
      </c>
      <c r="M101" s="606" t="s">
        <v>461</v>
      </c>
      <c r="N101" s="606" t="s">
        <v>461</v>
      </c>
      <c r="O101" s="606"/>
    </row>
    <row r="102" spans="12:16" x14ac:dyDescent="0.3">
      <c r="L102" s="606" t="s">
        <v>1157</v>
      </c>
      <c r="M102" s="606" t="s">
        <v>461</v>
      </c>
      <c r="N102" s="606" t="s">
        <v>461</v>
      </c>
      <c r="O102" s="606"/>
    </row>
    <row r="103" spans="12:16" x14ac:dyDescent="0.3">
      <c r="L103" s="606" t="s">
        <v>1158</v>
      </c>
      <c r="M103" s="606" t="s">
        <v>461</v>
      </c>
      <c r="N103" s="606" t="s">
        <v>461</v>
      </c>
      <c r="O103" s="606"/>
    </row>
    <row r="104" spans="12:16" x14ac:dyDescent="0.3">
      <c r="L104" s="606" t="s">
        <v>1159</v>
      </c>
      <c r="M104" s="606" t="s">
        <v>461</v>
      </c>
      <c r="N104" s="606" t="s">
        <v>461</v>
      </c>
      <c r="O104" s="606"/>
    </row>
    <row r="105" spans="12:16" x14ac:dyDescent="0.3">
      <c r="L105" s="606" t="s">
        <v>808</v>
      </c>
      <c r="M105" s="606" t="s">
        <v>461</v>
      </c>
      <c r="N105" s="606" t="s">
        <v>461</v>
      </c>
      <c r="O105" s="606"/>
    </row>
    <row r="106" spans="12:16" x14ac:dyDescent="0.3">
      <c r="L106" s="606" t="s">
        <v>487</v>
      </c>
      <c r="M106" s="606" t="s">
        <v>461</v>
      </c>
      <c r="N106" s="606" t="s">
        <v>461</v>
      </c>
      <c r="O106" s="606"/>
    </row>
    <row r="107" spans="12:16" x14ac:dyDescent="0.3">
      <c r="L107" s="606" t="s">
        <v>488</v>
      </c>
      <c r="M107" s="606" t="s">
        <v>461</v>
      </c>
      <c r="N107" s="606" t="s">
        <v>461</v>
      </c>
      <c r="O107" s="606"/>
    </row>
    <row r="108" spans="12:16" x14ac:dyDescent="0.3">
      <c r="L108" s="606" t="s">
        <v>1160</v>
      </c>
      <c r="M108" s="606" t="s">
        <v>461</v>
      </c>
      <c r="N108" s="606" t="s">
        <v>461</v>
      </c>
      <c r="O108" s="606"/>
    </row>
    <row r="109" spans="12:16" x14ac:dyDescent="0.3">
      <c r="L109" s="606" t="s">
        <v>1161</v>
      </c>
      <c r="M109" s="606" t="s">
        <v>461</v>
      </c>
      <c r="N109" s="606" t="s">
        <v>461</v>
      </c>
      <c r="O109" s="606"/>
    </row>
    <row r="110" spans="12:16" x14ac:dyDescent="0.3">
      <c r="L110" s="606" t="s">
        <v>1162</v>
      </c>
      <c r="M110" s="606" t="s">
        <v>461</v>
      </c>
      <c r="N110" s="606" t="s">
        <v>461</v>
      </c>
      <c r="O110" s="606" t="s">
        <v>1546</v>
      </c>
    </row>
    <row r="111" spans="12:16" x14ac:dyDescent="0.3">
      <c r="L111" s="606" t="s">
        <v>809</v>
      </c>
      <c r="M111" s="606" t="s">
        <v>461</v>
      </c>
      <c r="N111" s="606" t="s">
        <v>461</v>
      </c>
      <c r="O111" s="606"/>
    </row>
    <row r="112" spans="12:16" x14ac:dyDescent="0.3">
      <c r="L112" s="606" t="s">
        <v>1163</v>
      </c>
      <c r="M112" s="606" t="s">
        <v>461</v>
      </c>
      <c r="N112" s="606" t="s">
        <v>461</v>
      </c>
      <c r="O112" s="606"/>
    </row>
    <row r="113" spans="12:15" x14ac:dyDescent="0.3">
      <c r="L113" s="606" t="s">
        <v>1164</v>
      </c>
      <c r="M113" s="606" t="s">
        <v>461</v>
      </c>
      <c r="N113" s="606" t="s">
        <v>461</v>
      </c>
      <c r="O113" s="606"/>
    </row>
    <row r="114" spans="12:15" x14ac:dyDescent="0.3">
      <c r="L114" s="606" t="s">
        <v>1165</v>
      </c>
      <c r="M114" s="606" t="s">
        <v>461</v>
      </c>
      <c r="N114" s="606" t="s">
        <v>461</v>
      </c>
      <c r="O114" s="606"/>
    </row>
    <row r="115" spans="12:15" x14ac:dyDescent="0.3">
      <c r="L115" s="606" t="s">
        <v>1166</v>
      </c>
      <c r="M115" s="606" t="s">
        <v>461</v>
      </c>
      <c r="N115" s="606" t="s">
        <v>461</v>
      </c>
      <c r="O115" s="606"/>
    </row>
    <row r="116" spans="12:15" x14ac:dyDescent="0.3">
      <c r="L116" s="609" t="s">
        <v>1167</v>
      </c>
      <c r="M116" s="609">
        <v>0.03</v>
      </c>
      <c r="N116" s="609" t="s">
        <v>461</v>
      </c>
      <c r="O116" s="606" t="s">
        <v>1450</v>
      </c>
    </row>
    <row r="117" spans="12:15" x14ac:dyDescent="0.3">
      <c r="L117" s="606" t="s">
        <v>1168</v>
      </c>
      <c r="M117" s="606" t="s">
        <v>461</v>
      </c>
      <c r="N117" s="606" t="s">
        <v>461</v>
      </c>
      <c r="O117" s="606"/>
    </row>
    <row r="118" spans="12:15" x14ac:dyDescent="0.3">
      <c r="L118" s="606" t="s">
        <v>1169</v>
      </c>
      <c r="M118" s="606" t="s">
        <v>461</v>
      </c>
      <c r="N118" s="606" t="s">
        <v>461</v>
      </c>
      <c r="O118" s="606"/>
    </row>
    <row r="119" spans="12:15" x14ac:dyDescent="0.3">
      <c r="L119" s="606" t="s">
        <v>1170</v>
      </c>
      <c r="M119" s="606" t="s">
        <v>461</v>
      </c>
      <c r="N119" s="606" t="s">
        <v>461</v>
      </c>
      <c r="O119" s="606"/>
    </row>
    <row r="120" spans="12:15" x14ac:dyDescent="0.3">
      <c r="L120" s="606" t="s">
        <v>810</v>
      </c>
      <c r="M120" s="606" t="s">
        <v>461</v>
      </c>
      <c r="N120" s="606" t="s">
        <v>461</v>
      </c>
      <c r="O120" s="606"/>
    </row>
    <row r="121" spans="12:15" x14ac:dyDescent="0.3">
      <c r="L121" s="606" t="s">
        <v>1171</v>
      </c>
      <c r="M121" s="606" t="s">
        <v>461</v>
      </c>
      <c r="N121" s="606" t="s">
        <v>461</v>
      </c>
      <c r="O121" s="606"/>
    </row>
    <row r="122" spans="12:15" x14ac:dyDescent="0.3">
      <c r="L122" s="606" t="s">
        <v>811</v>
      </c>
      <c r="M122" s="606" t="s">
        <v>461</v>
      </c>
      <c r="N122" s="606" t="s">
        <v>461</v>
      </c>
      <c r="O122" s="606" t="s">
        <v>1546</v>
      </c>
    </row>
    <row r="123" spans="12:15" x14ac:dyDescent="0.3">
      <c r="L123" s="606" t="s">
        <v>1172</v>
      </c>
      <c r="M123" s="606" t="s">
        <v>461</v>
      </c>
      <c r="N123" s="606" t="s">
        <v>461</v>
      </c>
      <c r="O123" s="606"/>
    </row>
    <row r="124" spans="12:15" x14ac:dyDescent="0.3">
      <c r="L124" s="606" t="s">
        <v>1173</v>
      </c>
      <c r="M124" s="606" t="s">
        <v>461</v>
      </c>
      <c r="N124" s="606" t="s">
        <v>461</v>
      </c>
      <c r="O124" s="606"/>
    </row>
    <row r="125" spans="12:15" x14ac:dyDescent="0.3">
      <c r="L125" s="606" t="s">
        <v>1174</v>
      </c>
      <c r="M125" s="606" t="s">
        <v>461</v>
      </c>
      <c r="N125" s="606" t="s">
        <v>461</v>
      </c>
      <c r="O125" s="606"/>
    </row>
    <row r="126" spans="12:15" x14ac:dyDescent="0.3">
      <c r="L126" s="606" t="s">
        <v>1175</v>
      </c>
      <c r="M126" s="606" t="s">
        <v>461</v>
      </c>
      <c r="N126" s="606" t="s">
        <v>461</v>
      </c>
      <c r="O126" s="606"/>
    </row>
    <row r="127" spans="12:15" x14ac:dyDescent="0.3">
      <c r="L127" s="606" t="s">
        <v>489</v>
      </c>
      <c r="M127" s="606" t="s">
        <v>461</v>
      </c>
      <c r="N127" s="606" t="s">
        <v>461</v>
      </c>
      <c r="O127" s="606"/>
    </row>
    <row r="128" spans="12:15" x14ac:dyDescent="0.3">
      <c r="L128" s="606" t="s">
        <v>1176</v>
      </c>
      <c r="M128" s="606" t="s">
        <v>461</v>
      </c>
      <c r="N128" s="606" t="s">
        <v>461</v>
      </c>
      <c r="O128" s="606"/>
    </row>
    <row r="129" spans="12:16" x14ac:dyDescent="0.3">
      <c r="L129" s="606" t="s">
        <v>1177</v>
      </c>
      <c r="M129" s="606" t="s">
        <v>461</v>
      </c>
      <c r="N129" s="606" t="s">
        <v>461</v>
      </c>
      <c r="O129" s="606"/>
    </row>
    <row r="130" spans="12:16" x14ac:dyDescent="0.3">
      <c r="L130" s="606" t="s">
        <v>490</v>
      </c>
      <c r="M130" s="606" t="s">
        <v>461</v>
      </c>
      <c r="N130" s="606" t="s">
        <v>461</v>
      </c>
      <c r="O130" s="606"/>
    </row>
    <row r="131" spans="12:16" x14ac:dyDescent="0.3">
      <c r="L131" s="609" t="s">
        <v>1178</v>
      </c>
      <c r="M131" s="609">
        <v>0.03</v>
      </c>
      <c r="N131" s="609" t="s">
        <v>461</v>
      </c>
      <c r="O131" s="606" t="s">
        <v>1450</v>
      </c>
    </row>
    <row r="132" spans="12:16" x14ac:dyDescent="0.3">
      <c r="L132" s="606" t="s">
        <v>1179</v>
      </c>
      <c r="M132" s="606" t="s">
        <v>461</v>
      </c>
      <c r="N132" s="606" t="s">
        <v>461</v>
      </c>
      <c r="O132" s="606"/>
    </row>
    <row r="133" spans="12:16" x14ac:dyDescent="0.3">
      <c r="L133" s="606" t="s">
        <v>1180</v>
      </c>
      <c r="M133" s="606" t="s">
        <v>461</v>
      </c>
      <c r="N133" s="606" t="s">
        <v>461</v>
      </c>
      <c r="O133" s="606"/>
    </row>
    <row r="134" spans="12:16" x14ac:dyDescent="0.3">
      <c r="L134" s="606" t="s">
        <v>1181</v>
      </c>
      <c r="M134" s="606" t="s">
        <v>461</v>
      </c>
      <c r="N134" s="606" t="s">
        <v>461</v>
      </c>
      <c r="O134" s="606"/>
    </row>
    <row r="135" spans="12:16" x14ac:dyDescent="0.3">
      <c r="L135" s="606" t="s">
        <v>387</v>
      </c>
      <c r="M135" s="606" t="s">
        <v>461</v>
      </c>
      <c r="N135" s="606" t="s">
        <v>461</v>
      </c>
      <c r="O135" s="606"/>
    </row>
    <row r="136" spans="12:16" x14ac:dyDescent="0.3">
      <c r="L136" s="606" t="s">
        <v>491</v>
      </c>
      <c r="M136" s="606" t="s">
        <v>461</v>
      </c>
      <c r="N136" s="606" t="s">
        <v>461</v>
      </c>
      <c r="O136" s="606"/>
    </row>
    <row r="137" spans="12:16" x14ac:dyDescent="0.3">
      <c r="L137" s="606" t="s">
        <v>1182</v>
      </c>
      <c r="M137" s="606" t="s">
        <v>461</v>
      </c>
      <c r="N137" s="606" t="s">
        <v>461</v>
      </c>
      <c r="O137" s="606"/>
    </row>
    <row r="138" spans="12:16" x14ac:dyDescent="0.3">
      <c r="L138" s="606" t="s">
        <v>1183</v>
      </c>
      <c r="M138" s="606" t="s">
        <v>461</v>
      </c>
      <c r="N138" s="606" t="s">
        <v>461</v>
      </c>
      <c r="O138" s="606"/>
    </row>
    <row r="139" spans="12:16" x14ac:dyDescent="0.3">
      <c r="L139" s="606" t="s">
        <v>492</v>
      </c>
      <c r="M139" s="606" t="s">
        <v>461</v>
      </c>
      <c r="N139" s="606" t="s">
        <v>461</v>
      </c>
      <c r="O139" s="606"/>
    </row>
    <row r="140" spans="12:16" x14ac:dyDescent="0.3">
      <c r="L140" s="606" t="s">
        <v>493</v>
      </c>
      <c r="M140" s="606" t="s">
        <v>461</v>
      </c>
      <c r="N140" s="606" t="s">
        <v>461</v>
      </c>
      <c r="O140" s="606"/>
    </row>
    <row r="141" spans="12:16" x14ac:dyDescent="0.3">
      <c r="L141" s="606" t="s">
        <v>1184</v>
      </c>
      <c r="M141" s="606" t="s">
        <v>461</v>
      </c>
      <c r="N141" s="606" t="s">
        <v>461</v>
      </c>
      <c r="O141" s="606"/>
    </row>
    <row r="142" spans="12:16" x14ac:dyDescent="0.3">
      <c r="L142" s="606" t="s">
        <v>1185</v>
      </c>
      <c r="M142" s="606" t="s">
        <v>461</v>
      </c>
      <c r="N142" s="606" t="s">
        <v>461</v>
      </c>
      <c r="O142" s="606"/>
    </row>
    <row r="143" spans="12:16" x14ac:dyDescent="0.3">
      <c r="L143" s="608" t="s">
        <v>1186</v>
      </c>
      <c r="M143" s="608">
        <v>0.03</v>
      </c>
      <c r="N143" s="608">
        <v>0.05</v>
      </c>
      <c r="O143" s="606" t="s">
        <v>1455</v>
      </c>
      <c r="P143" s="615" t="s">
        <v>1451</v>
      </c>
    </row>
    <row r="144" spans="12:16" x14ac:dyDescent="0.3">
      <c r="L144" s="608" t="s">
        <v>812</v>
      </c>
      <c r="M144" s="608">
        <v>0.03</v>
      </c>
      <c r="N144" s="608">
        <v>0.05</v>
      </c>
      <c r="O144" s="606" t="s">
        <v>1455</v>
      </c>
      <c r="P144" s="615" t="s">
        <v>1451</v>
      </c>
    </row>
    <row r="145" spans="12:15" x14ac:dyDescent="0.3">
      <c r="L145" s="606" t="s">
        <v>1187</v>
      </c>
      <c r="M145" s="606" t="s">
        <v>461</v>
      </c>
      <c r="N145" s="606" t="s">
        <v>461</v>
      </c>
      <c r="O145" s="606"/>
    </row>
    <row r="146" spans="12:15" x14ac:dyDescent="0.3">
      <c r="L146" s="606" t="s">
        <v>1188</v>
      </c>
      <c r="M146" s="606" t="s">
        <v>461</v>
      </c>
      <c r="N146" s="606" t="s">
        <v>461</v>
      </c>
      <c r="O146" s="606"/>
    </row>
    <row r="147" spans="12:15" x14ac:dyDescent="0.3">
      <c r="L147" s="606" t="s">
        <v>1189</v>
      </c>
      <c r="M147" s="606" t="s">
        <v>461</v>
      </c>
      <c r="N147" s="606" t="s">
        <v>461</v>
      </c>
      <c r="O147" s="606"/>
    </row>
    <row r="148" spans="12:15" x14ac:dyDescent="0.3">
      <c r="L148" s="606" t="s">
        <v>1190</v>
      </c>
      <c r="M148" s="606" t="s">
        <v>461</v>
      </c>
      <c r="N148" s="606" t="s">
        <v>461</v>
      </c>
      <c r="O148" s="606"/>
    </row>
    <row r="149" spans="12:15" x14ac:dyDescent="0.3">
      <c r="L149" s="606" t="s">
        <v>495</v>
      </c>
      <c r="M149" s="606" t="s">
        <v>461</v>
      </c>
      <c r="N149" s="606" t="s">
        <v>461</v>
      </c>
      <c r="O149" s="606"/>
    </row>
    <row r="150" spans="12:15" x14ac:dyDescent="0.3">
      <c r="L150" s="606" t="s">
        <v>496</v>
      </c>
      <c r="M150" s="606" t="s">
        <v>461</v>
      </c>
      <c r="N150" s="606" t="s">
        <v>461</v>
      </c>
      <c r="O150" s="606"/>
    </row>
    <row r="151" spans="12:15" x14ac:dyDescent="0.3">
      <c r="L151" s="606" t="s">
        <v>1191</v>
      </c>
      <c r="M151" s="606" t="s">
        <v>461</v>
      </c>
      <c r="N151" s="606" t="s">
        <v>461</v>
      </c>
      <c r="O151" s="606"/>
    </row>
    <row r="152" spans="12:15" x14ac:dyDescent="0.3">
      <c r="L152" s="606" t="s">
        <v>1192</v>
      </c>
      <c r="M152" s="606" t="s">
        <v>461</v>
      </c>
      <c r="N152" s="606" t="s">
        <v>461</v>
      </c>
      <c r="O152" s="606"/>
    </row>
    <row r="153" spans="12:15" x14ac:dyDescent="0.3">
      <c r="L153" s="606" t="s">
        <v>497</v>
      </c>
      <c r="M153" s="606" t="s">
        <v>461</v>
      </c>
      <c r="N153" s="606" t="s">
        <v>461</v>
      </c>
      <c r="O153" s="606" t="s">
        <v>1546</v>
      </c>
    </row>
    <row r="154" spans="12:15" x14ac:dyDescent="0.3">
      <c r="L154" s="606" t="s">
        <v>813</v>
      </c>
      <c r="M154" s="606" t="s">
        <v>461</v>
      </c>
      <c r="N154" s="606" t="s">
        <v>461</v>
      </c>
      <c r="O154" s="606"/>
    </row>
    <row r="155" spans="12:15" x14ac:dyDescent="0.3">
      <c r="L155" s="606" t="s">
        <v>814</v>
      </c>
      <c r="M155" s="606" t="s">
        <v>461</v>
      </c>
      <c r="N155" s="606" t="s">
        <v>461</v>
      </c>
      <c r="O155" s="606"/>
    </row>
    <row r="156" spans="12:15" x14ac:dyDescent="0.3">
      <c r="L156" s="606" t="s">
        <v>498</v>
      </c>
      <c r="M156" s="606" t="s">
        <v>461</v>
      </c>
      <c r="N156" s="606" t="s">
        <v>461</v>
      </c>
      <c r="O156" s="606"/>
    </row>
    <row r="157" spans="12:15" x14ac:dyDescent="0.3">
      <c r="L157" s="606" t="s">
        <v>499</v>
      </c>
      <c r="M157" s="606" t="s">
        <v>461</v>
      </c>
      <c r="N157" s="606" t="s">
        <v>461</v>
      </c>
      <c r="O157" s="606"/>
    </row>
    <row r="158" spans="12:15" x14ac:dyDescent="0.3">
      <c r="L158" s="606" t="s">
        <v>500</v>
      </c>
      <c r="M158" s="606" t="s">
        <v>461</v>
      </c>
      <c r="N158" s="606" t="s">
        <v>461</v>
      </c>
      <c r="O158" s="606"/>
    </row>
    <row r="159" spans="12:15" x14ac:dyDescent="0.3">
      <c r="L159" s="606" t="s">
        <v>1193</v>
      </c>
      <c r="M159" s="606" t="s">
        <v>461</v>
      </c>
      <c r="N159" s="606" t="s">
        <v>461</v>
      </c>
      <c r="O159" s="606"/>
    </row>
    <row r="160" spans="12:15" x14ac:dyDescent="0.3">
      <c r="L160" s="606" t="s">
        <v>1194</v>
      </c>
      <c r="M160" s="606" t="s">
        <v>461</v>
      </c>
      <c r="N160" s="606" t="s">
        <v>461</v>
      </c>
      <c r="O160" s="606"/>
    </row>
    <row r="161" spans="12:16" x14ac:dyDescent="0.3">
      <c r="L161" s="606" t="s">
        <v>1195</v>
      </c>
      <c r="M161" s="606" t="s">
        <v>461</v>
      </c>
      <c r="N161" s="606" t="s">
        <v>461</v>
      </c>
      <c r="O161" s="606"/>
    </row>
    <row r="162" spans="12:16" x14ac:dyDescent="0.3">
      <c r="L162" s="606" t="s">
        <v>1196</v>
      </c>
      <c r="M162" s="606" t="s">
        <v>461</v>
      </c>
      <c r="N162" s="606" t="s">
        <v>461</v>
      </c>
      <c r="O162" s="606"/>
    </row>
    <row r="163" spans="12:16" x14ac:dyDescent="0.3">
      <c r="L163" s="606" t="s">
        <v>1197</v>
      </c>
      <c r="M163" s="606" t="s">
        <v>461</v>
      </c>
      <c r="N163" s="606" t="s">
        <v>461</v>
      </c>
      <c r="O163" s="606"/>
    </row>
    <row r="164" spans="12:16" x14ac:dyDescent="0.3">
      <c r="L164" s="606" t="s">
        <v>1198</v>
      </c>
      <c r="M164" s="606" t="s">
        <v>461</v>
      </c>
      <c r="N164" s="606" t="s">
        <v>461</v>
      </c>
      <c r="O164" s="606"/>
    </row>
    <row r="165" spans="12:16" x14ac:dyDescent="0.3">
      <c r="L165" s="608" t="s">
        <v>1199</v>
      </c>
      <c r="M165" s="608">
        <v>0.03</v>
      </c>
      <c r="N165" s="608">
        <v>0.05</v>
      </c>
      <c r="O165" s="606" t="s">
        <v>1455</v>
      </c>
      <c r="P165" s="615" t="s">
        <v>1451</v>
      </c>
    </row>
    <row r="166" spans="12:16" x14ac:dyDescent="0.3">
      <c r="L166" s="606" t="s">
        <v>1200</v>
      </c>
      <c r="M166" s="606" t="s">
        <v>461</v>
      </c>
      <c r="N166" s="606" t="s">
        <v>461</v>
      </c>
      <c r="O166" s="606" t="s">
        <v>1546</v>
      </c>
    </row>
    <row r="167" spans="12:16" x14ac:dyDescent="0.3">
      <c r="L167" s="606" t="s">
        <v>1201</v>
      </c>
      <c r="M167" s="606" t="s">
        <v>461</v>
      </c>
      <c r="N167" s="606" t="s">
        <v>461</v>
      </c>
      <c r="O167" s="606"/>
    </row>
    <row r="168" spans="12:16" x14ac:dyDescent="0.3">
      <c r="L168" s="606" t="s">
        <v>1202</v>
      </c>
      <c r="M168" s="606" t="s">
        <v>461</v>
      </c>
      <c r="N168" s="606" t="s">
        <v>461</v>
      </c>
      <c r="O168" s="606"/>
    </row>
    <row r="169" spans="12:16" x14ac:dyDescent="0.3">
      <c r="L169" s="606" t="s">
        <v>501</v>
      </c>
      <c r="M169" s="606" t="s">
        <v>461</v>
      </c>
      <c r="N169" s="606" t="s">
        <v>461</v>
      </c>
      <c r="O169" s="606"/>
    </row>
    <row r="170" spans="12:16" x14ac:dyDescent="0.3">
      <c r="L170" s="606" t="s">
        <v>1203</v>
      </c>
      <c r="M170" s="606" t="s">
        <v>461</v>
      </c>
      <c r="N170" s="606" t="s">
        <v>461</v>
      </c>
      <c r="O170" s="606" t="s">
        <v>1546</v>
      </c>
    </row>
    <row r="171" spans="12:16" x14ac:dyDescent="0.3">
      <c r="L171" s="606" t="s">
        <v>1204</v>
      </c>
      <c r="M171" s="606" t="s">
        <v>461</v>
      </c>
      <c r="N171" s="606" t="s">
        <v>461</v>
      </c>
      <c r="O171" s="606"/>
    </row>
    <row r="172" spans="12:16" x14ac:dyDescent="0.3">
      <c r="L172" s="606" t="s">
        <v>1205</v>
      </c>
      <c r="M172" s="606" t="s">
        <v>461</v>
      </c>
      <c r="N172" s="606" t="s">
        <v>461</v>
      </c>
      <c r="O172" s="606" t="s">
        <v>1546</v>
      </c>
    </row>
    <row r="173" spans="12:16" x14ac:dyDescent="0.3">
      <c r="L173" s="606" t="s">
        <v>502</v>
      </c>
      <c r="M173" s="606" t="s">
        <v>461</v>
      </c>
      <c r="N173" s="606" t="s">
        <v>461</v>
      </c>
      <c r="O173" s="606"/>
    </row>
    <row r="174" spans="12:16" x14ac:dyDescent="0.3">
      <c r="L174" s="606" t="s">
        <v>1206</v>
      </c>
      <c r="M174" s="606" t="s">
        <v>461</v>
      </c>
      <c r="N174" s="606" t="s">
        <v>461</v>
      </c>
      <c r="O174" s="606"/>
    </row>
    <row r="175" spans="12:16" x14ac:dyDescent="0.3">
      <c r="L175" s="606" t="s">
        <v>1207</v>
      </c>
      <c r="M175" s="606" t="s">
        <v>461</v>
      </c>
      <c r="N175" s="606" t="s">
        <v>461</v>
      </c>
      <c r="O175" s="606"/>
    </row>
    <row r="176" spans="12:16" x14ac:dyDescent="0.3">
      <c r="L176" s="606" t="s">
        <v>1208</v>
      </c>
      <c r="M176" s="606" t="s">
        <v>461</v>
      </c>
      <c r="N176" s="606" t="s">
        <v>461</v>
      </c>
      <c r="O176" s="606"/>
    </row>
    <row r="177" spans="12:16" x14ac:dyDescent="0.3">
      <c r="L177" s="606" t="s">
        <v>503</v>
      </c>
      <c r="M177" s="606" t="s">
        <v>461</v>
      </c>
      <c r="N177" s="606" t="s">
        <v>461</v>
      </c>
      <c r="O177" s="606"/>
    </row>
    <row r="178" spans="12:16" x14ac:dyDescent="0.3">
      <c r="L178" s="608" t="s">
        <v>504</v>
      </c>
      <c r="M178" s="608">
        <v>0.03</v>
      </c>
      <c r="N178" s="608">
        <v>0.05</v>
      </c>
      <c r="O178" s="606" t="s">
        <v>1455</v>
      </c>
      <c r="P178" s="615" t="s">
        <v>1451</v>
      </c>
    </row>
    <row r="179" spans="12:16" x14ac:dyDescent="0.3">
      <c r="L179" s="606" t="s">
        <v>1209</v>
      </c>
      <c r="M179" s="606" t="s">
        <v>461</v>
      </c>
      <c r="N179" s="606" t="s">
        <v>461</v>
      </c>
      <c r="O179" s="606"/>
    </row>
    <row r="180" spans="12:16" x14ac:dyDescent="0.3">
      <c r="L180" s="606" t="s">
        <v>1210</v>
      </c>
      <c r="M180" s="606" t="s">
        <v>461</v>
      </c>
      <c r="N180" s="606" t="s">
        <v>461</v>
      </c>
      <c r="O180" s="606"/>
    </row>
    <row r="181" spans="12:16" x14ac:dyDescent="0.3">
      <c r="L181" s="606" t="s">
        <v>1211</v>
      </c>
      <c r="M181" s="606" t="s">
        <v>461</v>
      </c>
      <c r="N181" s="606" t="s">
        <v>461</v>
      </c>
      <c r="O181" s="606"/>
    </row>
    <row r="182" spans="12:16" x14ac:dyDescent="0.3">
      <c r="L182" s="606" t="s">
        <v>1212</v>
      </c>
      <c r="M182" s="606" t="s">
        <v>461</v>
      </c>
      <c r="N182" s="606" t="s">
        <v>461</v>
      </c>
      <c r="O182" s="606"/>
    </row>
    <row r="183" spans="12:16" x14ac:dyDescent="0.3">
      <c r="L183" s="606" t="s">
        <v>1213</v>
      </c>
      <c r="M183" s="606" t="s">
        <v>461</v>
      </c>
      <c r="N183" s="606" t="s">
        <v>461</v>
      </c>
      <c r="O183" s="606"/>
    </row>
    <row r="184" spans="12:16" x14ac:dyDescent="0.3">
      <c r="L184" s="606" t="s">
        <v>388</v>
      </c>
      <c r="M184" s="606" t="s">
        <v>461</v>
      </c>
      <c r="N184" s="606" t="s">
        <v>461</v>
      </c>
      <c r="O184" s="606"/>
    </row>
    <row r="185" spans="12:16" x14ac:dyDescent="0.3">
      <c r="L185" s="609" t="s">
        <v>1214</v>
      </c>
      <c r="M185" s="609">
        <v>0.03</v>
      </c>
      <c r="N185" s="609" t="s">
        <v>461</v>
      </c>
      <c r="O185" s="606" t="s">
        <v>1450</v>
      </c>
    </row>
    <row r="186" spans="12:16" x14ac:dyDescent="0.3">
      <c r="L186" s="606" t="s">
        <v>1215</v>
      </c>
      <c r="M186" s="606" t="s">
        <v>461</v>
      </c>
      <c r="N186" s="606" t="s">
        <v>461</v>
      </c>
      <c r="O186" s="606"/>
    </row>
    <row r="187" spans="12:16" x14ac:dyDescent="0.3">
      <c r="L187" s="606" t="s">
        <v>815</v>
      </c>
      <c r="M187" s="606" t="s">
        <v>461</v>
      </c>
      <c r="N187" s="606" t="s">
        <v>461</v>
      </c>
      <c r="O187" s="606"/>
    </row>
    <row r="188" spans="12:16" x14ac:dyDescent="0.3">
      <c r="L188" s="606" t="s">
        <v>1216</v>
      </c>
      <c r="M188" s="606" t="s">
        <v>461</v>
      </c>
      <c r="N188" s="606" t="s">
        <v>461</v>
      </c>
      <c r="O188" s="606"/>
    </row>
    <row r="189" spans="12:16" x14ac:dyDescent="0.3">
      <c r="L189" s="606" t="s">
        <v>505</v>
      </c>
      <c r="M189" s="606" t="s">
        <v>461</v>
      </c>
      <c r="N189" s="606" t="s">
        <v>461</v>
      </c>
      <c r="O189" s="606"/>
    </row>
    <row r="190" spans="12:16" x14ac:dyDescent="0.3">
      <c r="L190" s="606" t="s">
        <v>1217</v>
      </c>
      <c r="M190" s="606" t="s">
        <v>461</v>
      </c>
      <c r="N190" s="606" t="s">
        <v>461</v>
      </c>
      <c r="O190" s="606"/>
    </row>
    <row r="191" spans="12:16" x14ac:dyDescent="0.3">
      <c r="L191" s="606" t="s">
        <v>506</v>
      </c>
      <c r="M191" s="606" t="s">
        <v>461</v>
      </c>
      <c r="N191" s="606" t="s">
        <v>461</v>
      </c>
      <c r="O191" s="606"/>
    </row>
    <row r="192" spans="12:16" x14ac:dyDescent="0.3">
      <c r="L192" s="606" t="s">
        <v>1218</v>
      </c>
      <c r="M192" s="606" t="s">
        <v>461</v>
      </c>
      <c r="N192" s="606" t="s">
        <v>461</v>
      </c>
      <c r="O192" s="606"/>
    </row>
    <row r="193" spans="12:16" x14ac:dyDescent="0.3">
      <c r="L193" s="606" t="s">
        <v>1055</v>
      </c>
      <c r="M193" s="606" t="s">
        <v>461</v>
      </c>
      <c r="N193" s="606" t="s">
        <v>461</v>
      </c>
      <c r="O193" s="606"/>
    </row>
    <row r="194" spans="12:16" x14ac:dyDescent="0.3">
      <c r="L194" s="606" t="s">
        <v>1219</v>
      </c>
      <c r="M194" s="606" t="s">
        <v>461</v>
      </c>
      <c r="N194" s="606" t="s">
        <v>461</v>
      </c>
      <c r="O194" s="606"/>
    </row>
    <row r="195" spans="12:16" x14ac:dyDescent="0.3">
      <c r="L195" s="609" t="s">
        <v>1220</v>
      </c>
      <c r="M195" s="609">
        <v>0.03</v>
      </c>
      <c r="N195" s="609" t="s">
        <v>461</v>
      </c>
      <c r="O195" s="606" t="s">
        <v>1450</v>
      </c>
    </row>
    <row r="196" spans="12:16" x14ac:dyDescent="0.3">
      <c r="L196" s="606" t="s">
        <v>1221</v>
      </c>
      <c r="M196" s="606" t="s">
        <v>461</v>
      </c>
      <c r="N196" s="606" t="s">
        <v>461</v>
      </c>
      <c r="O196" s="606"/>
    </row>
    <row r="197" spans="12:16" x14ac:dyDescent="0.3">
      <c r="L197" s="606" t="s">
        <v>1222</v>
      </c>
      <c r="M197" s="606" t="s">
        <v>461</v>
      </c>
      <c r="N197" s="606" t="s">
        <v>461</v>
      </c>
      <c r="O197" s="606"/>
    </row>
    <row r="198" spans="12:16" x14ac:dyDescent="0.3">
      <c r="L198" s="606" t="s">
        <v>816</v>
      </c>
      <c r="M198" s="606" t="s">
        <v>461</v>
      </c>
      <c r="N198" s="606" t="s">
        <v>461</v>
      </c>
      <c r="O198" s="606"/>
    </row>
    <row r="199" spans="12:16" x14ac:dyDescent="0.3">
      <c r="L199" s="606" t="s">
        <v>507</v>
      </c>
      <c r="M199" s="606" t="s">
        <v>461</v>
      </c>
      <c r="N199" s="606" t="s">
        <v>461</v>
      </c>
      <c r="O199" s="606"/>
    </row>
    <row r="200" spans="12:16" x14ac:dyDescent="0.3">
      <c r="L200" s="606" t="s">
        <v>394</v>
      </c>
      <c r="M200" s="606" t="s">
        <v>461</v>
      </c>
      <c r="N200" s="606" t="s">
        <v>461</v>
      </c>
      <c r="O200" s="606"/>
    </row>
    <row r="201" spans="12:16" x14ac:dyDescent="0.3">
      <c r="L201" s="608" t="s">
        <v>395</v>
      </c>
      <c r="M201" s="608">
        <v>0.03</v>
      </c>
      <c r="N201" s="608">
        <v>0.05</v>
      </c>
      <c r="O201" s="606" t="s">
        <v>1455</v>
      </c>
      <c r="P201" s="615" t="s">
        <v>1451</v>
      </c>
    </row>
    <row r="202" spans="12:16" x14ac:dyDescent="0.3">
      <c r="L202" s="606" t="s">
        <v>1223</v>
      </c>
      <c r="M202" s="606" t="s">
        <v>461</v>
      </c>
      <c r="N202" s="606" t="s">
        <v>461</v>
      </c>
      <c r="O202" s="606"/>
    </row>
    <row r="203" spans="12:16" x14ac:dyDescent="0.3">
      <c r="L203" s="606" t="s">
        <v>1224</v>
      </c>
      <c r="M203" s="606" t="s">
        <v>461</v>
      </c>
      <c r="N203" s="606" t="s">
        <v>461</v>
      </c>
      <c r="O203" s="606"/>
    </row>
    <row r="204" spans="12:16" x14ac:dyDescent="0.3">
      <c r="L204" s="606" t="s">
        <v>508</v>
      </c>
      <c r="M204" s="606" t="s">
        <v>461</v>
      </c>
      <c r="N204" s="606" t="s">
        <v>461</v>
      </c>
      <c r="O204" s="606"/>
    </row>
    <row r="205" spans="12:16" x14ac:dyDescent="0.3">
      <c r="L205" s="606" t="s">
        <v>509</v>
      </c>
      <c r="M205" s="606" t="s">
        <v>461</v>
      </c>
      <c r="N205" s="606" t="s">
        <v>461</v>
      </c>
      <c r="O205" s="606"/>
    </row>
    <row r="206" spans="12:16" x14ac:dyDescent="0.3">
      <c r="L206" s="608" t="s">
        <v>510</v>
      </c>
      <c r="M206" s="608">
        <v>0.03</v>
      </c>
      <c r="N206" s="608">
        <v>0.05</v>
      </c>
      <c r="O206" s="606" t="s">
        <v>1455</v>
      </c>
      <c r="P206" s="615" t="s">
        <v>1451</v>
      </c>
    </row>
    <row r="207" spans="12:16" x14ac:dyDescent="0.3">
      <c r="L207" s="606" t="s">
        <v>511</v>
      </c>
      <c r="M207" s="606" t="s">
        <v>461</v>
      </c>
      <c r="N207" s="606" t="s">
        <v>461</v>
      </c>
      <c r="O207" s="606"/>
    </row>
    <row r="208" spans="12:16" x14ac:dyDescent="0.3">
      <c r="L208" s="606" t="s">
        <v>1225</v>
      </c>
      <c r="M208" s="606" t="s">
        <v>461</v>
      </c>
      <c r="N208" s="606" t="s">
        <v>461</v>
      </c>
      <c r="O208" s="606"/>
    </row>
    <row r="209" spans="12:16" x14ac:dyDescent="0.3">
      <c r="L209" s="606" t="s">
        <v>1226</v>
      </c>
      <c r="M209" s="606" t="s">
        <v>461</v>
      </c>
      <c r="N209" s="606" t="s">
        <v>461</v>
      </c>
      <c r="O209" s="606"/>
    </row>
    <row r="210" spans="12:16" x14ac:dyDescent="0.3">
      <c r="L210" s="606" t="s">
        <v>1227</v>
      </c>
      <c r="M210" s="606" t="s">
        <v>461</v>
      </c>
      <c r="N210" s="606" t="s">
        <v>461</v>
      </c>
      <c r="O210" s="606"/>
    </row>
    <row r="211" spans="12:16" x14ac:dyDescent="0.3">
      <c r="L211" s="606" t="s">
        <v>1228</v>
      </c>
      <c r="M211" s="606" t="s">
        <v>461</v>
      </c>
      <c r="N211" s="606" t="s">
        <v>461</v>
      </c>
      <c r="O211" s="606"/>
    </row>
    <row r="212" spans="12:16" x14ac:dyDescent="0.3">
      <c r="L212" s="606" t="s">
        <v>817</v>
      </c>
      <c r="M212" s="606" t="s">
        <v>461</v>
      </c>
      <c r="N212" s="606" t="s">
        <v>461</v>
      </c>
      <c r="O212" s="606"/>
    </row>
    <row r="213" spans="12:16" x14ac:dyDescent="0.3">
      <c r="L213" s="606" t="s">
        <v>1229</v>
      </c>
      <c r="M213" s="606" t="s">
        <v>461</v>
      </c>
      <c r="N213" s="606" t="s">
        <v>461</v>
      </c>
      <c r="O213" s="606"/>
    </row>
    <row r="214" spans="12:16" x14ac:dyDescent="0.3">
      <c r="L214" s="606" t="s">
        <v>818</v>
      </c>
      <c r="M214" s="606" t="s">
        <v>461</v>
      </c>
      <c r="N214" s="606" t="s">
        <v>461</v>
      </c>
      <c r="O214" s="606"/>
    </row>
    <row r="215" spans="12:16" x14ac:dyDescent="0.3">
      <c r="L215" s="606" t="s">
        <v>1230</v>
      </c>
      <c r="M215" s="606" t="s">
        <v>461</v>
      </c>
      <c r="N215" s="606" t="s">
        <v>461</v>
      </c>
      <c r="O215" s="606"/>
    </row>
    <row r="216" spans="12:16" x14ac:dyDescent="0.3">
      <c r="L216" s="606" t="s">
        <v>1231</v>
      </c>
      <c r="M216" s="606" t="s">
        <v>461</v>
      </c>
      <c r="N216" s="606" t="s">
        <v>461</v>
      </c>
      <c r="O216" s="606"/>
    </row>
    <row r="217" spans="12:16" x14ac:dyDescent="0.3">
      <c r="L217" s="606" t="s">
        <v>389</v>
      </c>
      <c r="M217" s="606" t="s">
        <v>461</v>
      </c>
      <c r="N217" s="606" t="s">
        <v>461</v>
      </c>
      <c r="O217" s="606"/>
    </row>
    <row r="218" spans="12:16" x14ac:dyDescent="0.3">
      <c r="L218" s="606" t="s">
        <v>1232</v>
      </c>
      <c r="M218" s="606" t="s">
        <v>461</v>
      </c>
      <c r="N218" s="606" t="s">
        <v>461</v>
      </c>
      <c r="O218" s="606"/>
    </row>
    <row r="219" spans="12:16" x14ac:dyDescent="0.3">
      <c r="L219" s="608" t="s">
        <v>819</v>
      </c>
      <c r="M219" s="608">
        <v>0.03</v>
      </c>
      <c r="N219" s="608">
        <v>0.05</v>
      </c>
      <c r="O219" s="606" t="s">
        <v>1455</v>
      </c>
      <c r="P219" s="615" t="s">
        <v>1451</v>
      </c>
    </row>
    <row r="220" spans="12:16" x14ac:dyDescent="0.3">
      <c r="L220" s="606" t="s">
        <v>1233</v>
      </c>
      <c r="M220" s="606" t="s">
        <v>461</v>
      </c>
      <c r="N220" s="606" t="s">
        <v>461</v>
      </c>
      <c r="O220" s="606"/>
    </row>
    <row r="221" spans="12:16" x14ac:dyDescent="0.3">
      <c r="L221" s="609" t="s">
        <v>396</v>
      </c>
      <c r="M221" s="609" t="s">
        <v>461</v>
      </c>
      <c r="N221" s="609" t="s">
        <v>461</v>
      </c>
      <c r="O221" s="606" t="s">
        <v>1450</v>
      </c>
    </row>
    <row r="222" spans="12:16" x14ac:dyDescent="0.3">
      <c r="L222" s="606" t="s">
        <v>1234</v>
      </c>
      <c r="M222" s="606" t="s">
        <v>461</v>
      </c>
      <c r="N222" s="606" t="s">
        <v>461</v>
      </c>
      <c r="O222" s="606"/>
    </row>
    <row r="223" spans="12:16" x14ac:dyDescent="0.3">
      <c r="L223" s="606" t="s">
        <v>1235</v>
      </c>
      <c r="M223" s="606" t="s">
        <v>461</v>
      </c>
      <c r="N223" s="606" t="s">
        <v>461</v>
      </c>
      <c r="O223" s="606" t="s">
        <v>1546</v>
      </c>
    </row>
    <row r="224" spans="12:16" x14ac:dyDescent="0.3">
      <c r="L224" s="606" t="s">
        <v>1236</v>
      </c>
      <c r="M224" s="606" t="s">
        <v>461</v>
      </c>
      <c r="N224" s="606" t="s">
        <v>461</v>
      </c>
      <c r="O224" s="606"/>
    </row>
    <row r="225" spans="12:16" x14ac:dyDescent="0.3">
      <c r="L225" s="606" t="s">
        <v>1237</v>
      </c>
      <c r="M225" s="606" t="s">
        <v>461</v>
      </c>
      <c r="N225" s="606" t="s">
        <v>461</v>
      </c>
      <c r="O225" s="606"/>
    </row>
    <row r="226" spans="12:16" x14ac:dyDescent="0.3">
      <c r="L226" s="608" t="s">
        <v>1238</v>
      </c>
      <c r="M226" s="608">
        <v>0.03</v>
      </c>
      <c r="N226" s="608">
        <v>0.05</v>
      </c>
      <c r="O226" s="606" t="s">
        <v>1455</v>
      </c>
      <c r="P226" s="615" t="s">
        <v>1451</v>
      </c>
    </row>
    <row r="227" spans="12:16" x14ac:dyDescent="0.3">
      <c r="L227" s="606" t="s">
        <v>512</v>
      </c>
      <c r="M227" s="606" t="s">
        <v>461</v>
      </c>
      <c r="N227" s="606" t="s">
        <v>461</v>
      </c>
      <c r="O227" s="606"/>
    </row>
    <row r="228" spans="12:16" x14ac:dyDescent="0.3">
      <c r="L228" s="606" t="s">
        <v>1239</v>
      </c>
      <c r="M228" s="606" t="s">
        <v>461</v>
      </c>
      <c r="N228" s="606" t="s">
        <v>461</v>
      </c>
      <c r="O228" s="606"/>
    </row>
    <row r="229" spans="12:16" x14ac:dyDescent="0.3">
      <c r="L229" s="606" t="s">
        <v>513</v>
      </c>
      <c r="M229" s="606" t="s">
        <v>461</v>
      </c>
      <c r="N229" s="606" t="s">
        <v>461</v>
      </c>
      <c r="O229" s="606"/>
    </row>
    <row r="230" spans="12:16" x14ac:dyDescent="0.3">
      <c r="L230" s="606" t="s">
        <v>1240</v>
      </c>
      <c r="M230" s="606" t="s">
        <v>461</v>
      </c>
      <c r="N230" s="606" t="s">
        <v>461</v>
      </c>
      <c r="O230" s="606"/>
    </row>
    <row r="231" spans="12:16" x14ac:dyDescent="0.3">
      <c r="L231" s="608" t="s">
        <v>514</v>
      </c>
      <c r="M231" s="608">
        <v>0.03</v>
      </c>
      <c r="N231" s="608">
        <v>0.05</v>
      </c>
      <c r="O231" s="606" t="s">
        <v>1455</v>
      </c>
      <c r="P231" s="615" t="s">
        <v>1451</v>
      </c>
    </row>
    <row r="232" spans="12:16" x14ac:dyDescent="0.3">
      <c r="L232" s="606" t="s">
        <v>1241</v>
      </c>
      <c r="M232" s="606" t="s">
        <v>461</v>
      </c>
      <c r="N232" s="606" t="s">
        <v>461</v>
      </c>
      <c r="O232" s="606"/>
    </row>
    <row r="233" spans="12:16" x14ac:dyDescent="0.3">
      <c r="L233" s="606" t="s">
        <v>1242</v>
      </c>
      <c r="M233" s="606" t="s">
        <v>461</v>
      </c>
      <c r="N233" s="606" t="s">
        <v>461</v>
      </c>
      <c r="O233" s="606"/>
    </row>
    <row r="234" spans="12:16" x14ac:dyDescent="0.3">
      <c r="L234" s="606" t="s">
        <v>1056</v>
      </c>
      <c r="M234" s="606" t="s">
        <v>461</v>
      </c>
      <c r="N234" s="606" t="s">
        <v>461</v>
      </c>
      <c r="O234" s="606"/>
    </row>
    <row r="235" spans="12:16" x14ac:dyDescent="0.3">
      <c r="L235" s="609" t="s">
        <v>1243</v>
      </c>
      <c r="M235" s="609" t="s">
        <v>461</v>
      </c>
      <c r="N235" s="609" t="s">
        <v>461</v>
      </c>
      <c r="O235" s="606" t="s">
        <v>1450</v>
      </c>
    </row>
    <row r="236" spans="12:16" x14ac:dyDescent="0.3">
      <c r="L236" s="606" t="s">
        <v>433</v>
      </c>
      <c r="M236" s="606" t="s">
        <v>461</v>
      </c>
      <c r="N236" s="606" t="s">
        <v>461</v>
      </c>
      <c r="O236" s="606"/>
    </row>
    <row r="237" spans="12:16" x14ac:dyDescent="0.3">
      <c r="L237" s="606" t="s">
        <v>1244</v>
      </c>
      <c r="M237" s="606" t="s">
        <v>461</v>
      </c>
      <c r="N237" s="606" t="s">
        <v>461</v>
      </c>
      <c r="O237" s="606"/>
    </row>
    <row r="238" spans="12:16" x14ac:dyDescent="0.3">
      <c r="L238" s="606" t="s">
        <v>434</v>
      </c>
      <c r="M238" s="606" t="s">
        <v>461</v>
      </c>
      <c r="N238" s="606" t="s">
        <v>461</v>
      </c>
      <c r="O238" s="606"/>
    </row>
    <row r="239" spans="12:16" x14ac:dyDescent="0.3">
      <c r="L239" s="606" t="s">
        <v>1245</v>
      </c>
      <c r="M239" s="606" t="s">
        <v>461</v>
      </c>
      <c r="N239" s="606" t="s">
        <v>461</v>
      </c>
      <c r="O239" s="606"/>
    </row>
    <row r="240" spans="12:16" x14ac:dyDescent="0.3">
      <c r="L240" s="606" t="s">
        <v>1246</v>
      </c>
      <c r="M240" s="606" t="s">
        <v>461</v>
      </c>
      <c r="N240" s="606" t="s">
        <v>461</v>
      </c>
      <c r="O240" s="606"/>
    </row>
    <row r="241" spans="12:16" x14ac:dyDescent="0.3">
      <c r="L241" s="606" t="s">
        <v>1247</v>
      </c>
      <c r="M241" s="606" t="s">
        <v>461</v>
      </c>
      <c r="N241" s="606" t="s">
        <v>461</v>
      </c>
      <c r="O241" s="606"/>
    </row>
    <row r="242" spans="12:16" x14ac:dyDescent="0.3">
      <c r="L242" s="606" t="s">
        <v>1248</v>
      </c>
      <c r="M242" s="606" t="s">
        <v>461</v>
      </c>
      <c r="N242" s="606" t="s">
        <v>461</v>
      </c>
      <c r="O242" s="606"/>
    </row>
    <row r="243" spans="12:16" x14ac:dyDescent="0.3">
      <c r="L243" s="606" t="s">
        <v>1249</v>
      </c>
      <c r="M243" s="606" t="s">
        <v>461</v>
      </c>
      <c r="N243" s="606" t="s">
        <v>461</v>
      </c>
      <c r="O243" s="606"/>
    </row>
    <row r="244" spans="12:16" x14ac:dyDescent="0.3">
      <c r="L244" s="606" t="s">
        <v>1250</v>
      </c>
      <c r="M244" s="606" t="s">
        <v>461</v>
      </c>
      <c r="N244" s="606" t="s">
        <v>461</v>
      </c>
      <c r="O244" s="606"/>
    </row>
    <row r="245" spans="12:16" x14ac:dyDescent="0.3">
      <c r="L245" s="606" t="s">
        <v>1251</v>
      </c>
      <c r="M245" s="606" t="s">
        <v>461</v>
      </c>
      <c r="N245" s="606" t="s">
        <v>461</v>
      </c>
      <c r="O245" s="606"/>
    </row>
    <row r="246" spans="12:16" x14ac:dyDescent="0.3">
      <c r="L246" s="606" t="s">
        <v>1252</v>
      </c>
      <c r="M246" s="606" t="s">
        <v>461</v>
      </c>
      <c r="N246" s="606" t="s">
        <v>461</v>
      </c>
      <c r="O246" s="606"/>
    </row>
    <row r="247" spans="12:16" x14ac:dyDescent="0.3">
      <c r="L247" s="606" t="s">
        <v>1253</v>
      </c>
      <c r="M247" s="606" t="s">
        <v>461</v>
      </c>
      <c r="N247" s="606" t="s">
        <v>461</v>
      </c>
      <c r="O247" s="606"/>
    </row>
    <row r="248" spans="12:16" x14ac:dyDescent="0.3">
      <c r="L248" s="606" t="s">
        <v>1254</v>
      </c>
      <c r="M248" s="606" t="s">
        <v>461</v>
      </c>
      <c r="N248" s="606" t="s">
        <v>461</v>
      </c>
      <c r="O248" s="606"/>
    </row>
    <row r="249" spans="12:16" x14ac:dyDescent="0.3">
      <c r="L249" s="606" t="s">
        <v>1255</v>
      </c>
      <c r="M249" s="606" t="s">
        <v>461</v>
      </c>
      <c r="N249" s="606" t="s">
        <v>461</v>
      </c>
      <c r="O249" s="606"/>
    </row>
    <row r="250" spans="12:16" x14ac:dyDescent="0.3">
      <c r="L250" s="606" t="s">
        <v>1256</v>
      </c>
      <c r="M250" s="606" t="s">
        <v>461</v>
      </c>
      <c r="N250" s="606" t="s">
        <v>461</v>
      </c>
      <c r="O250" s="606"/>
    </row>
    <row r="251" spans="12:16" x14ac:dyDescent="0.3">
      <c r="L251" s="606" t="s">
        <v>1257</v>
      </c>
      <c r="M251" s="606" t="s">
        <v>461</v>
      </c>
      <c r="N251" s="606" t="s">
        <v>461</v>
      </c>
      <c r="O251" s="606" t="s">
        <v>1546</v>
      </c>
    </row>
    <row r="252" spans="12:16" x14ac:dyDescent="0.3">
      <c r="L252" s="606" t="s">
        <v>435</v>
      </c>
      <c r="M252" s="606" t="s">
        <v>461</v>
      </c>
      <c r="N252" s="606" t="s">
        <v>461</v>
      </c>
      <c r="O252" s="606"/>
    </row>
    <row r="253" spans="12:16" x14ac:dyDescent="0.3">
      <c r="L253" s="608" t="s">
        <v>1258</v>
      </c>
      <c r="M253" s="608">
        <v>0.03</v>
      </c>
      <c r="N253" s="608">
        <v>0.05</v>
      </c>
      <c r="O253" s="606" t="s">
        <v>1455</v>
      </c>
      <c r="P253" s="615" t="s">
        <v>1451</v>
      </c>
    </row>
    <row r="254" spans="12:16" x14ac:dyDescent="0.3">
      <c r="L254" s="606" t="s">
        <v>1259</v>
      </c>
      <c r="M254" s="606" t="s">
        <v>461</v>
      </c>
      <c r="N254" s="606" t="s">
        <v>461</v>
      </c>
      <c r="O254" s="606"/>
    </row>
    <row r="255" spans="12:16" x14ac:dyDescent="0.3">
      <c r="L255" s="606" t="s">
        <v>1260</v>
      </c>
      <c r="M255" s="606" t="s">
        <v>461</v>
      </c>
      <c r="N255" s="606" t="s">
        <v>461</v>
      </c>
      <c r="O255" s="606"/>
    </row>
    <row r="256" spans="12:16" x14ac:dyDescent="0.3">
      <c r="L256" s="606" t="s">
        <v>1261</v>
      </c>
      <c r="M256" s="606" t="s">
        <v>461</v>
      </c>
      <c r="N256" s="606" t="s">
        <v>461</v>
      </c>
      <c r="O256" s="606"/>
    </row>
    <row r="257" spans="12:16" x14ac:dyDescent="0.3">
      <c r="L257" s="606" t="s">
        <v>1262</v>
      </c>
      <c r="M257" s="606" t="s">
        <v>461</v>
      </c>
      <c r="N257" s="606" t="s">
        <v>461</v>
      </c>
      <c r="O257" s="606"/>
    </row>
    <row r="258" spans="12:16" x14ac:dyDescent="0.3">
      <c r="L258" s="608" t="s">
        <v>1263</v>
      </c>
      <c r="M258" s="608">
        <v>0.03</v>
      </c>
      <c r="N258" s="608">
        <v>0.05</v>
      </c>
      <c r="O258" s="606" t="s">
        <v>1455</v>
      </c>
      <c r="P258" s="615" t="s">
        <v>1451</v>
      </c>
    </row>
    <row r="259" spans="12:16" x14ac:dyDescent="0.3">
      <c r="L259" s="606" t="s">
        <v>1264</v>
      </c>
      <c r="M259" s="606" t="s">
        <v>461</v>
      </c>
      <c r="N259" s="606" t="s">
        <v>461</v>
      </c>
      <c r="O259" s="606"/>
    </row>
    <row r="260" spans="12:16" x14ac:dyDescent="0.3">
      <c r="L260" s="606" t="s">
        <v>1265</v>
      </c>
      <c r="M260" s="606" t="s">
        <v>461</v>
      </c>
      <c r="N260" s="606" t="s">
        <v>461</v>
      </c>
      <c r="O260" s="606"/>
    </row>
    <row r="261" spans="12:16" x14ac:dyDescent="0.3">
      <c r="L261" s="606" t="s">
        <v>1266</v>
      </c>
      <c r="M261" s="606" t="s">
        <v>461</v>
      </c>
      <c r="N261" s="606" t="s">
        <v>461</v>
      </c>
      <c r="O261" s="606"/>
    </row>
    <row r="262" spans="12:16" x14ac:dyDescent="0.3">
      <c r="L262" s="606" t="s">
        <v>1267</v>
      </c>
      <c r="M262" s="606" t="s">
        <v>461</v>
      </c>
      <c r="N262" s="606" t="s">
        <v>461</v>
      </c>
      <c r="O262" s="606"/>
    </row>
    <row r="263" spans="12:16" x14ac:dyDescent="0.3">
      <c r="L263" s="609" t="s">
        <v>1268</v>
      </c>
      <c r="M263" s="609" t="s">
        <v>461</v>
      </c>
      <c r="N263" s="609" t="s">
        <v>461</v>
      </c>
      <c r="O263" s="606" t="s">
        <v>1450</v>
      </c>
    </row>
    <row r="264" spans="12:16" x14ac:dyDescent="0.3">
      <c r="L264" s="606" t="s">
        <v>1269</v>
      </c>
      <c r="M264" s="606" t="s">
        <v>461</v>
      </c>
      <c r="N264" s="606" t="s">
        <v>461</v>
      </c>
      <c r="O264" s="606"/>
    </row>
    <row r="265" spans="12:16" x14ac:dyDescent="0.3">
      <c r="L265" s="606" t="s">
        <v>1270</v>
      </c>
      <c r="M265" s="606" t="s">
        <v>461</v>
      </c>
      <c r="N265" s="606" t="s">
        <v>461</v>
      </c>
      <c r="O265" s="606"/>
    </row>
    <row r="266" spans="12:16" x14ac:dyDescent="0.3">
      <c r="L266" s="606" t="s">
        <v>1271</v>
      </c>
      <c r="M266" s="606" t="s">
        <v>461</v>
      </c>
      <c r="N266" s="606" t="s">
        <v>461</v>
      </c>
      <c r="O266" s="606"/>
    </row>
    <row r="267" spans="12:16" x14ac:dyDescent="0.3">
      <c r="L267" s="606" t="s">
        <v>1272</v>
      </c>
      <c r="M267" s="606" t="s">
        <v>461</v>
      </c>
      <c r="N267" s="606" t="s">
        <v>461</v>
      </c>
      <c r="O267" s="606"/>
    </row>
    <row r="268" spans="12:16" x14ac:dyDescent="0.3">
      <c r="L268" s="608" t="s">
        <v>1273</v>
      </c>
      <c r="M268" s="608">
        <v>0.03</v>
      </c>
      <c r="N268" s="608">
        <v>0.05</v>
      </c>
      <c r="O268" s="606" t="s">
        <v>1455</v>
      </c>
      <c r="P268" s="615" t="s">
        <v>1451</v>
      </c>
    </row>
    <row r="269" spans="12:16" x14ac:dyDescent="0.3">
      <c r="L269" s="606" t="s">
        <v>1274</v>
      </c>
      <c r="M269" s="606" t="s">
        <v>461</v>
      </c>
      <c r="N269" s="606" t="s">
        <v>461</v>
      </c>
      <c r="O269" s="606"/>
    </row>
    <row r="270" spans="12:16" x14ac:dyDescent="0.3">
      <c r="L270" s="606" t="s">
        <v>1275</v>
      </c>
      <c r="M270" s="606" t="s">
        <v>461</v>
      </c>
      <c r="N270" s="606" t="s">
        <v>461</v>
      </c>
      <c r="O270" s="606"/>
    </row>
    <row r="271" spans="12:16" x14ac:dyDescent="0.3">
      <c r="L271" s="606" t="s">
        <v>1276</v>
      </c>
      <c r="M271" s="606" t="s">
        <v>461</v>
      </c>
      <c r="N271" s="606" t="s">
        <v>461</v>
      </c>
      <c r="O271" s="606"/>
    </row>
    <row r="272" spans="12:16" x14ac:dyDescent="0.3">
      <c r="L272" s="606" t="s">
        <v>1277</v>
      </c>
      <c r="M272" s="606" t="s">
        <v>461</v>
      </c>
      <c r="N272" s="606" t="s">
        <v>461</v>
      </c>
      <c r="O272" s="606"/>
    </row>
    <row r="273" spans="12:16" x14ac:dyDescent="0.3">
      <c r="L273" s="606" t="s">
        <v>1278</v>
      </c>
      <c r="M273" s="606" t="s">
        <v>461</v>
      </c>
      <c r="N273" s="606" t="s">
        <v>461</v>
      </c>
      <c r="O273" s="606"/>
    </row>
    <row r="274" spans="12:16" x14ac:dyDescent="0.3">
      <c r="L274" s="606" t="s">
        <v>1279</v>
      </c>
      <c r="M274" s="606" t="s">
        <v>461</v>
      </c>
      <c r="N274" s="606" t="s">
        <v>461</v>
      </c>
      <c r="O274" s="606"/>
    </row>
    <row r="275" spans="12:16" x14ac:dyDescent="0.3">
      <c r="L275" s="609" t="s">
        <v>1280</v>
      </c>
      <c r="M275" s="609">
        <v>0.03</v>
      </c>
      <c r="N275" s="609">
        <v>0.03</v>
      </c>
      <c r="O275" s="606" t="s">
        <v>1450</v>
      </c>
    </row>
    <row r="276" spans="12:16" x14ac:dyDescent="0.3">
      <c r="L276" s="606" t="s">
        <v>1281</v>
      </c>
      <c r="M276" s="606" t="s">
        <v>461</v>
      </c>
      <c r="N276" s="606" t="s">
        <v>461</v>
      </c>
      <c r="O276" s="606"/>
    </row>
    <row r="277" spans="12:16" x14ac:dyDescent="0.3">
      <c r="L277" s="606" t="s">
        <v>1282</v>
      </c>
      <c r="M277" s="606" t="s">
        <v>461</v>
      </c>
      <c r="N277" s="606" t="s">
        <v>461</v>
      </c>
      <c r="O277" s="606"/>
    </row>
    <row r="278" spans="12:16" x14ac:dyDescent="0.3">
      <c r="L278" s="606" t="s">
        <v>1283</v>
      </c>
      <c r="M278" s="606" t="s">
        <v>461</v>
      </c>
      <c r="N278" s="606" t="s">
        <v>461</v>
      </c>
      <c r="O278" s="606"/>
    </row>
    <row r="279" spans="12:16" x14ac:dyDescent="0.3">
      <c r="L279" s="609" t="s">
        <v>1284</v>
      </c>
      <c r="M279" s="609" t="s">
        <v>461</v>
      </c>
      <c r="N279" s="609" t="s">
        <v>461</v>
      </c>
      <c r="O279" s="606" t="s">
        <v>1450</v>
      </c>
    </row>
    <row r="280" spans="12:16" x14ac:dyDescent="0.3">
      <c r="L280" s="606" t="s">
        <v>1285</v>
      </c>
      <c r="M280" s="606" t="s">
        <v>461</v>
      </c>
      <c r="N280" s="606" t="s">
        <v>461</v>
      </c>
      <c r="O280" s="606"/>
    </row>
    <row r="281" spans="12:16" x14ac:dyDescent="0.3">
      <c r="L281" s="606" t="s">
        <v>1286</v>
      </c>
      <c r="M281" s="606" t="s">
        <v>461</v>
      </c>
      <c r="N281" s="606" t="s">
        <v>461</v>
      </c>
      <c r="O281" s="606"/>
    </row>
    <row r="282" spans="12:16" x14ac:dyDescent="0.3">
      <c r="L282" s="606" t="s">
        <v>1287</v>
      </c>
      <c r="M282" s="606" t="s">
        <v>461</v>
      </c>
      <c r="N282" s="606" t="s">
        <v>461</v>
      </c>
      <c r="O282" s="606"/>
    </row>
    <row r="283" spans="12:16" x14ac:dyDescent="0.3">
      <c r="L283" s="606" t="s">
        <v>1288</v>
      </c>
      <c r="M283" s="606" t="s">
        <v>461</v>
      </c>
      <c r="N283" s="606" t="s">
        <v>461</v>
      </c>
      <c r="O283" s="606"/>
    </row>
    <row r="284" spans="12:16" x14ac:dyDescent="0.3">
      <c r="L284" s="608" t="s">
        <v>1289</v>
      </c>
      <c r="M284" s="608">
        <v>0.03</v>
      </c>
      <c r="N284" s="608">
        <v>0.05</v>
      </c>
      <c r="O284" s="606" t="s">
        <v>1455</v>
      </c>
      <c r="P284" s="615" t="s">
        <v>1451</v>
      </c>
    </row>
    <row r="285" spans="12:16" x14ac:dyDescent="0.3">
      <c r="L285" s="606" t="s">
        <v>436</v>
      </c>
      <c r="M285" s="606" t="s">
        <v>461</v>
      </c>
      <c r="N285" s="606" t="s">
        <v>461</v>
      </c>
      <c r="O285" s="606"/>
    </row>
    <row r="286" spans="12:16" x14ac:dyDescent="0.3">
      <c r="L286" s="606" t="s">
        <v>1290</v>
      </c>
      <c r="M286" s="606" t="s">
        <v>461</v>
      </c>
      <c r="N286" s="606" t="s">
        <v>461</v>
      </c>
    </row>
    <row r="287" spans="12:16" x14ac:dyDescent="0.3">
      <c r="L287" s="606" t="s">
        <v>437</v>
      </c>
      <c r="M287" s="606" t="s">
        <v>461</v>
      </c>
      <c r="N287" s="606" t="s">
        <v>461</v>
      </c>
      <c r="O287" s="606" t="s">
        <v>1546</v>
      </c>
    </row>
    <row r="288" spans="12:16" x14ac:dyDescent="0.3">
      <c r="L288" s="606" t="s">
        <v>1291</v>
      </c>
      <c r="M288" s="606" t="s">
        <v>461</v>
      </c>
      <c r="N288" s="606" t="s">
        <v>461</v>
      </c>
      <c r="O288" s="606"/>
    </row>
    <row r="289" spans="12:16" x14ac:dyDescent="0.3">
      <c r="L289" s="608" t="s">
        <v>438</v>
      </c>
      <c r="M289" s="608">
        <v>0.03</v>
      </c>
      <c r="N289" s="608">
        <v>0.05</v>
      </c>
      <c r="O289" s="606" t="s">
        <v>1455</v>
      </c>
      <c r="P289" s="615" t="s">
        <v>1451</v>
      </c>
    </row>
    <row r="290" spans="12:16" x14ac:dyDescent="0.3">
      <c r="L290" s="606" t="s">
        <v>439</v>
      </c>
      <c r="M290" s="606" t="s">
        <v>461</v>
      </c>
      <c r="N290" s="606" t="s">
        <v>461</v>
      </c>
      <c r="O290" s="606" t="s">
        <v>1546</v>
      </c>
    </row>
    <row r="291" spans="12:16" x14ac:dyDescent="0.3">
      <c r="L291" s="606" t="s">
        <v>390</v>
      </c>
      <c r="M291" s="606" t="s">
        <v>461</v>
      </c>
      <c r="N291" s="606" t="s">
        <v>461</v>
      </c>
      <c r="O291" s="606"/>
    </row>
    <row r="292" spans="12:16" x14ac:dyDescent="0.3">
      <c r="L292" s="606" t="s">
        <v>1292</v>
      </c>
      <c r="M292" s="606" t="s">
        <v>461</v>
      </c>
      <c r="N292" s="606" t="s">
        <v>461</v>
      </c>
      <c r="O292" s="606"/>
    </row>
    <row r="293" spans="12:16" x14ac:dyDescent="0.3">
      <c r="L293" s="606" t="s">
        <v>1293</v>
      </c>
      <c r="M293" s="606" t="s">
        <v>461</v>
      </c>
      <c r="N293" s="606" t="s">
        <v>461</v>
      </c>
      <c r="O293" s="606"/>
    </row>
    <row r="294" spans="12:16" x14ac:dyDescent="0.3">
      <c r="L294" s="606" t="s">
        <v>440</v>
      </c>
      <c r="M294" s="606" t="s">
        <v>461</v>
      </c>
      <c r="N294" s="606" t="s">
        <v>461</v>
      </c>
      <c r="O294" s="606"/>
    </row>
    <row r="295" spans="12:16" x14ac:dyDescent="0.3">
      <c r="L295" s="609" t="s">
        <v>1294</v>
      </c>
      <c r="M295" s="609">
        <v>0.03</v>
      </c>
      <c r="N295" s="609" t="s">
        <v>461</v>
      </c>
      <c r="O295" s="606" t="s">
        <v>1450</v>
      </c>
    </row>
    <row r="296" spans="12:16" x14ac:dyDescent="0.3">
      <c r="L296" s="606" t="s">
        <v>1295</v>
      </c>
      <c r="M296" s="606" t="s">
        <v>461</v>
      </c>
      <c r="N296" s="606" t="s">
        <v>461</v>
      </c>
      <c r="O296" s="606"/>
    </row>
    <row r="297" spans="12:16" x14ac:dyDescent="0.3">
      <c r="L297" s="606" t="s">
        <v>1296</v>
      </c>
      <c r="M297" s="606" t="s">
        <v>461</v>
      </c>
      <c r="N297" s="606" t="s">
        <v>461</v>
      </c>
      <c r="O297" s="606"/>
    </row>
    <row r="298" spans="12:16" x14ac:dyDescent="0.3">
      <c r="L298" s="606" t="s">
        <v>1297</v>
      </c>
      <c r="M298" s="606" t="s">
        <v>461</v>
      </c>
      <c r="N298" s="606" t="s">
        <v>461</v>
      </c>
      <c r="O298" s="606"/>
    </row>
    <row r="299" spans="12:16" x14ac:dyDescent="0.3">
      <c r="L299" s="606" t="s">
        <v>1298</v>
      </c>
      <c r="M299" s="606" t="s">
        <v>461</v>
      </c>
      <c r="N299" s="606" t="s">
        <v>461</v>
      </c>
      <c r="O299" s="606"/>
    </row>
    <row r="300" spans="12:16" x14ac:dyDescent="0.3">
      <c r="L300" s="606" t="s">
        <v>1299</v>
      </c>
      <c r="M300" s="606" t="s">
        <v>461</v>
      </c>
      <c r="N300" s="606" t="s">
        <v>461</v>
      </c>
      <c r="O300" s="606"/>
    </row>
    <row r="301" spans="12:16" x14ac:dyDescent="0.3">
      <c r="L301" s="606" t="s">
        <v>1300</v>
      </c>
      <c r="M301" s="606" t="s">
        <v>461</v>
      </c>
      <c r="N301" s="606" t="s">
        <v>461</v>
      </c>
      <c r="O301" s="606"/>
    </row>
    <row r="302" spans="12:16" x14ac:dyDescent="0.3">
      <c r="L302" s="606" t="s">
        <v>1301</v>
      </c>
      <c r="M302" s="606" t="s">
        <v>461</v>
      </c>
      <c r="N302" s="606" t="s">
        <v>461</v>
      </c>
      <c r="O302" s="606"/>
    </row>
    <row r="303" spans="12:16" x14ac:dyDescent="0.3">
      <c r="L303" s="606" t="s">
        <v>1302</v>
      </c>
      <c r="M303" s="606" t="s">
        <v>461</v>
      </c>
      <c r="N303" s="606" t="s">
        <v>461</v>
      </c>
      <c r="O303" s="606"/>
    </row>
    <row r="304" spans="12:16" x14ac:dyDescent="0.3">
      <c r="L304" s="606" t="s">
        <v>1303</v>
      </c>
      <c r="M304" s="606" t="s">
        <v>461</v>
      </c>
      <c r="N304" s="606" t="s">
        <v>461</v>
      </c>
      <c r="O304" s="606"/>
    </row>
    <row r="305" spans="12:15" x14ac:dyDescent="0.3">
      <c r="L305" s="606" t="s">
        <v>1304</v>
      </c>
      <c r="M305" s="606" t="s">
        <v>461</v>
      </c>
      <c r="N305" s="606" t="s">
        <v>461</v>
      </c>
      <c r="O305" s="606"/>
    </row>
    <row r="306" spans="12:15" x14ac:dyDescent="0.3">
      <c r="L306" s="606" t="s">
        <v>441</v>
      </c>
      <c r="M306" s="606" t="s">
        <v>461</v>
      </c>
      <c r="N306" s="606" t="s">
        <v>461</v>
      </c>
      <c r="O306" s="606"/>
    </row>
    <row r="307" spans="12:15" x14ac:dyDescent="0.3">
      <c r="L307" s="606" t="s">
        <v>1305</v>
      </c>
      <c r="M307" s="606" t="s">
        <v>461</v>
      </c>
      <c r="N307" s="606" t="s">
        <v>461</v>
      </c>
      <c r="O307" s="606"/>
    </row>
    <row r="308" spans="12:15" x14ac:dyDescent="0.3">
      <c r="L308" s="606" t="s">
        <v>1306</v>
      </c>
      <c r="M308" s="606" t="s">
        <v>461</v>
      </c>
      <c r="N308" s="606" t="s">
        <v>461</v>
      </c>
      <c r="O308" s="606"/>
    </row>
    <row r="309" spans="12:15" x14ac:dyDescent="0.3">
      <c r="L309" s="606" t="s">
        <v>1307</v>
      </c>
      <c r="M309" s="606" t="s">
        <v>461</v>
      </c>
      <c r="N309" s="606" t="s">
        <v>461</v>
      </c>
      <c r="O309" s="606"/>
    </row>
    <row r="310" spans="12:15" x14ac:dyDescent="0.3">
      <c r="L310" s="606" t="s">
        <v>1308</v>
      </c>
      <c r="M310" s="606" t="s">
        <v>461</v>
      </c>
      <c r="N310" s="606" t="s">
        <v>461</v>
      </c>
      <c r="O310" s="606"/>
    </row>
    <row r="311" spans="12:15" x14ac:dyDescent="0.3">
      <c r="L311" s="606" t="s">
        <v>1309</v>
      </c>
      <c r="M311" s="606" t="s">
        <v>461</v>
      </c>
      <c r="N311" s="606" t="s">
        <v>461</v>
      </c>
      <c r="O311" s="606"/>
    </row>
    <row r="312" spans="12:15" x14ac:dyDescent="0.3">
      <c r="L312" s="606" t="s">
        <v>820</v>
      </c>
      <c r="M312" s="606" t="s">
        <v>461</v>
      </c>
      <c r="N312" s="606" t="s">
        <v>461</v>
      </c>
      <c r="O312" s="606"/>
    </row>
    <row r="313" spans="12:15" x14ac:dyDescent="0.3">
      <c r="L313" s="606" t="s">
        <v>821</v>
      </c>
      <c r="M313" s="606" t="s">
        <v>461</v>
      </c>
      <c r="N313" s="606" t="s">
        <v>461</v>
      </c>
      <c r="O313" s="606"/>
    </row>
    <row r="314" spans="12:15" x14ac:dyDescent="0.3">
      <c r="L314" s="606" t="s">
        <v>1310</v>
      </c>
      <c r="M314" s="606" t="s">
        <v>461</v>
      </c>
      <c r="N314" s="606" t="s">
        <v>461</v>
      </c>
      <c r="O314" s="606"/>
    </row>
    <row r="315" spans="12:15" x14ac:dyDescent="0.3">
      <c r="L315" s="606" t="s">
        <v>1311</v>
      </c>
      <c r="M315" s="606" t="s">
        <v>461</v>
      </c>
      <c r="N315" s="606" t="s">
        <v>461</v>
      </c>
      <c r="O315" s="606"/>
    </row>
    <row r="316" spans="12:15" x14ac:dyDescent="0.3">
      <c r="L316" s="606" t="s">
        <v>1312</v>
      </c>
      <c r="M316" s="606" t="s">
        <v>461</v>
      </c>
      <c r="N316" s="606" t="s">
        <v>461</v>
      </c>
      <c r="O316" s="606"/>
    </row>
    <row r="317" spans="12:15" x14ac:dyDescent="0.3">
      <c r="L317" s="606" t="s">
        <v>1313</v>
      </c>
      <c r="M317" s="606" t="s">
        <v>461</v>
      </c>
      <c r="N317" s="606" t="s">
        <v>461</v>
      </c>
      <c r="O317" s="606"/>
    </row>
    <row r="318" spans="12:15" x14ac:dyDescent="0.3">
      <c r="L318" s="606" t="s">
        <v>516</v>
      </c>
      <c r="M318" s="606" t="s">
        <v>461</v>
      </c>
      <c r="N318" s="606" t="s">
        <v>461</v>
      </c>
      <c r="O318" s="606"/>
    </row>
    <row r="319" spans="12:15" x14ac:dyDescent="0.3">
      <c r="L319" s="606" t="s">
        <v>1314</v>
      </c>
      <c r="M319" s="606" t="s">
        <v>461</v>
      </c>
      <c r="N319" s="606" t="s">
        <v>461</v>
      </c>
      <c r="O319" s="606"/>
    </row>
    <row r="320" spans="12:15" x14ac:dyDescent="0.3">
      <c r="L320" s="606" t="s">
        <v>1315</v>
      </c>
      <c r="M320" s="606" t="s">
        <v>461</v>
      </c>
      <c r="N320" s="606" t="s">
        <v>461</v>
      </c>
      <c r="O320" s="606"/>
    </row>
    <row r="321" spans="12:15" x14ac:dyDescent="0.3">
      <c r="L321" s="606" t="s">
        <v>822</v>
      </c>
      <c r="M321" s="606" t="s">
        <v>461</v>
      </c>
      <c r="N321" s="606" t="s">
        <v>461</v>
      </c>
      <c r="O321" s="606"/>
    </row>
    <row r="322" spans="12:15" x14ac:dyDescent="0.3">
      <c r="L322" s="606" t="s">
        <v>1316</v>
      </c>
      <c r="M322" s="606" t="s">
        <v>461</v>
      </c>
      <c r="N322" s="606" t="s">
        <v>461</v>
      </c>
      <c r="O322" s="606"/>
    </row>
    <row r="323" spans="12:15" x14ac:dyDescent="0.3">
      <c r="L323" s="606" t="s">
        <v>1317</v>
      </c>
      <c r="M323" s="606" t="s">
        <v>461</v>
      </c>
      <c r="N323" s="606" t="s">
        <v>461</v>
      </c>
      <c r="O323" s="606"/>
    </row>
    <row r="324" spans="12:15" x14ac:dyDescent="0.3">
      <c r="L324" s="606" t="s">
        <v>1318</v>
      </c>
      <c r="M324" s="606" t="s">
        <v>461</v>
      </c>
      <c r="N324" s="606" t="s">
        <v>461</v>
      </c>
      <c r="O324" s="606"/>
    </row>
    <row r="325" spans="12:15" x14ac:dyDescent="0.3">
      <c r="L325" s="609" t="s">
        <v>1319</v>
      </c>
      <c r="M325" s="609">
        <v>0.01</v>
      </c>
      <c r="N325" s="609" t="s">
        <v>461</v>
      </c>
      <c r="O325" s="606" t="s">
        <v>1450</v>
      </c>
    </row>
    <row r="326" spans="12:15" x14ac:dyDescent="0.3">
      <c r="L326" s="606" t="s">
        <v>517</v>
      </c>
      <c r="M326" s="606" t="s">
        <v>461</v>
      </c>
      <c r="N326" s="606" t="s">
        <v>461</v>
      </c>
      <c r="O326" s="606"/>
    </row>
    <row r="327" spans="12:15" x14ac:dyDescent="0.3">
      <c r="L327" s="606" t="s">
        <v>1320</v>
      </c>
      <c r="M327" s="606" t="s">
        <v>461</v>
      </c>
      <c r="N327" s="606" t="s">
        <v>461</v>
      </c>
      <c r="O327" s="606"/>
    </row>
    <row r="328" spans="12:15" x14ac:dyDescent="0.3">
      <c r="L328" s="606" t="s">
        <v>1321</v>
      </c>
      <c r="M328" s="606" t="s">
        <v>461</v>
      </c>
      <c r="N328" s="606" t="s">
        <v>461</v>
      </c>
      <c r="O328" s="606"/>
    </row>
    <row r="329" spans="12:15" x14ac:dyDescent="0.3">
      <c r="L329" s="606" t="s">
        <v>1322</v>
      </c>
      <c r="M329" s="606" t="s">
        <v>461</v>
      </c>
      <c r="N329" s="606" t="s">
        <v>461</v>
      </c>
      <c r="O329" s="606"/>
    </row>
    <row r="330" spans="12:15" x14ac:dyDescent="0.3">
      <c r="L330" s="609" t="s">
        <v>1323</v>
      </c>
      <c r="M330" s="609">
        <v>0.05</v>
      </c>
      <c r="N330" s="609" t="s">
        <v>461</v>
      </c>
      <c r="O330" s="606" t="s">
        <v>1450</v>
      </c>
    </row>
    <row r="331" spans="12:15" x14ac:dyDescent="0.3">
      <c r="L331" s="606" t="s">
        <v>1324</v>
      </c>
      <c r="M331" s="606" t="s">
        <v>461</v>
      </c>
      <c r="N331" s="606" t="s">
        <v>461</v>
      </c>
      <c r="O331" s="606"/>
    </row>
    <row r="332" spans="12:15" x14ac:dyDescent="0.3">
      <c r="L332" s="606" t="s">
        <v>1325</v>
      </c>
      <c r="M332" s="606" t="s">
        <v>461</v>
      </c>
      <c r="N332" s="606" t="s">
        <v>461</v>
      </c>
      <c r="O332" s="606"/>
    </row>
    <row r="333" spans="12:15" x14ac:dyDescent="0.3">
      <c r="L333" s="606" t="s">
        <v>1326</v>
      </c>
      <c r="M333" s="606" t="s">
        <v>461</v>
      </c>
      <c r="N333" s="606" t="s">
        <v>461</v>
      </c>
      <c r="O333" s="606"/>
    </row>
    <row r="334" spans="12:15" x14ac:dyDescent="0.3">
      <c r="L334" s="606" t="s">
        <v>1327</v>
      </c>
      <c r="M334" s="606" t="s">
        <v>461</v>
      </c>
      <c r="N334" s="606" t="s">
        <v>461</v>
      </c>
      <c r="O334" s="606"/>
    </row>
    <row r="335" spans="12:15" x14ac:dyDescent="0.3">
      <c r="L335" s="606" t="s">
        <v>823</v>
      </c>
      <c r="M335" s="606" t="s">
        <v>461</v>
      </c>
      <c r="N335" s="606" t="s">
        <v>461</v>
      </c>
      <c r="O335" s="606"/>
    </row>
    <row r="336" spans="12:15" x14ac:dyDescent="0.3">
      <c r="L336" s="606" t="s">
        <v>518</v>
      </c>
      <c r="M336" s="606" t="s">
        <v>461</v>
      </c>
      <c r="N336" s="606" t="s">
        <v>461</v>
      </c>
      <c r="O336" s="606"/>
    </row>
    <row r="337" spans="12:16" x14ac:dyDescent="0.3">
      <c r="L337" s="606" t="s">
        <v>1328</v>
      </c>
      <c r="M337" s="606" t="s">
        <v>461</v>
      </c>
      <c r="N337" s="606" t="s">
        <v>461</v>
      </c>
      <c r="O337" s="606"/>
    </row>
    <row r="338" spans="12:16" x14ac:dyDescent="0.3">
      <c r="L338" s="606" t="s">
        <v>1329</v>
      </c>
      <c r="M338" s="606" t="s">
        <v>461</v>
      </c>
      <c r="N338" s="606" t="s">
        <v>461</v>
      </c>
      <c r="O338" s="606"/>
    </row>
    <row r="339" spans="12:16" x14ac:dyDescent="0.3">
      <c r="L339" s="606" t="s">
        <v>1330</v>
      </c>
      <c r="M339" s="606" t="s">
        <v>461</v>
      </c>
      <c r="N339" s="606" t="s">
        <v>461</v>
      </c>
      <c r="O339" s="606"/>
    </row>
    <row r="340" spans="12:16" x14ac:dyDescent="0.3">
      <c r="L340" s="606" t="s">
        <v>1331</v>
      </c>
      <c r="M340" s="606" t="s">
        <v>461</v>
      </c>
      <c r="N340" s="606" t="s">
        <v>461</v>
      </c>
      <c r="O340" s="606"/>
    </row>
    <row r="341" spans="12:16" x14ac:dyDescent="0.3">
      <c r="L341" s="606" t="s">
        <v>1332</v>
      </c>
      <c r="M341" s="606" t="s">
        <v>461</v>
      </c>
      <c r="N341" s="606" t="s">
        <v>461</v>
      </c>
      <c r="O341" s="606"/>
    </row>
    <row r="342" spans="12:16" x14ac:dyDescent="0.3">
      <c r="L342" s="606" t="s">
        <v>519</v>
      </c>
      <c r="M342" s="606" t="s">
        <v>461</v>
      </c>
      <c r="N342" s="606" t="s">
        <v>461</v>
      </c>
      <c r="O342" s="606"/>
    </row>
    <row r="343" spans="12:16" x14ac:dyDescent="0.3">
      <c r="L343" s="608" t="s">
        <v>1333</v>
      </c>
      <c r="M343" s="608">
        <v>0.03</v>
      </c>
      <c r="N343" s="608">
        <v>0.05</v>
      </c>
      <c r="O343" s="606" t="s">
        <v>1455</v>
      </c>
      <c r="P343" s="615" t="s">
        <v>1451</v>
      </c>
    </row>
    <row r="344" spans="12:16" x14ac:dyDescent="0.3">
      <c r="L344" s="606" t="s">
        <v>1334</v>
      </c>
      <c r="M344" s="606" t="s">
        <v>461</v>
      </c>
      <c r="N344" s="606" t="s">
        <v>461</v>
      </c>
      <c r="O344" s="606"/>
    </row>
    <row r="345" spans="12:16" x14ac:dyDescent="0.3">
      <c r="L345" s="606" t="s">
        <v>1335</v>
      </c>
      <c r="M345" s="606" t="s">
        <v>461</v>
      </c>
      <c r="N345" s="606" t="s">
        <v>461</v>
      </c>
      <c r="O345" s="606"/>
    </row>
    <row r="346" spans="12:16" x14ac:dyDescent="0.3">
      <c r="L346" s="606" t="s">
        <v>520</v>
      </c>
      <c r="M346" s="606" t="s">
        <v>461</v>
      </c>
      <c r="N346" s="606" t="s">
        <v>461</v>
      </c>
      <c r="O346" s="606"/>
    </row>
    <row r="347" spans="12:16" x14ac:dyDescent="0.3">
      <c r="L347" s="609" t="s">
        <v>1336</v>
      </c>
      <c r="M347" s="609">
        <v>0.03</v>
      </c>
      <c r="N347" s="609">
        <v>0.05</v>
      </c>
      <c r="O347" s="606" t="s">
        <v>1450</v>
      </c>
    </row>
    <row r="348" spans="12:16" x14ac:dyDescent="0.3">
      <c r="L348" s="606" t="s">
        <v>521</v>
      </c>
      <c r="M348" s="606" t="s">
        <v>461</v>
      </c>
      <c r="N348" s="606" t="s">
        <v>461</v>
      </c>
      <c r="O348" s="606"/>
    </row>
    <row r="349" spans="12:16" x14ac:dyDescent="0.3">
      <c r="L349" s="606" t="s">
        <v>522</v>
      </c>
      <c r="M349" s="606" t="s">
        <v>461</v>
      </c>
      <c r="N349" s="606" t="s">
        <v>461</v>
      </c>
      <c r="O349" s="606"/>
    </row>
    <row r="350" spans="12:16" x14ac:dyDescent="0.3">
      <c r="L350" s="606" t="s">
        <v>523</v>
      </c>
      <c r="M350" s="606" t="s">
        <v>461</v>
      </c>
      <c r="N350" s="606" t="s">
        <v>461</v>
      </c>
      <c r="O350" s="606"/>
    </row>
    <row r="351" spans="12:16" x14ac:dyDescent="0.3">
      <c r="L351" s="606" t="s">
        <v>1337</v>
      </c>
      <c r="M351" s="606" t="s">
        <v>461</v>
      </c>
      <c r="N351" s="606" t="s">
        <v>461</v>
      </c>
      <c r="O351" s="606"/>
    </row>
    <row r="352" spans="12:16" x14ac:dyDescent="0.3">
      <c r="L352" s="606" t="s">
        <v>1338</v>
      </c>
      <c r="M352" s="606" t="s">
        <v>461</v>
      </c>
      <c r="N352" s="606" t="s">
        <v>461</v>
      </c>
      <c r="O352" s="606"/>
    </row>
    <row r="353" spans="12:15" x14ac:dyDescent="0.3">
      <c r="L353" s="606" t="s">
        <v>1339</v>
      </c>
      <c r="M353" s="606" t="s">
        <v>461</v>
      </c>
      <c r="N353" s="606" t="s">
        <v>461</v>
      </c>
      <c r="O353" s="606"/>
    </row>
    <row r="354" spans="12:15" x14ac:dyDescent="0.3">
      <c r="L354" s="606" t="s">
        <v>525</v>
      </c>
      <c r="M354" s="606" t="s">
        <v>461</v>
      </c>
      <c r="N354" s="606" t="s">
        <v>461</v>
      </c>
      <c r="O354" s="606"/>
    </row>
    <row r="355" spans="12:15" x14ac:dyDescent="0.3">
      <c r="L355" s="606" t="s">
        <v>526</v>
      </c>
      <c r="M355" s="606" t="s">
        <v>461</v>
      </c>
      <c r="N355" s="606" t="s">
        <v>461</v>
      </c>
      <c r="O355" s="606" t="s">
        <v>1546</v>
      </c>
    </row>
    <row r="356" spans="12:15" x14ac:dyDescent="0.3">
      <c r="L356" s="606" t="s">
        <v>1340</v>
      </c>
      <c r="M356" s="606" t="s">
        <v>461</v>
      </c>
      <c r="N356" s="606" t="s">
        <v>461</v>
      </c>
      <c r="O356" s="606"/>
    </row>
    <row r="357" spans="12:15" x14ac:dyDescent="0.3">
      <c r="L357" s="606" t="s">
        <v>1341</v>
      </c>
      <c r="M357" s="606" t="s">
        <v>461</v>
      </c>
      <c r="N357" s="606" t="s">
        <v>461</v>
      </c>
      <c r="O357" s="606"/>
    </row>
    <row r="358" spans="12:15" x14ac:dyDescent="0.3">
      <c r="L358" s="606" t="s">
        <v>1342</v>
      </c>
      <c r="M358" s="606" t="s">
        <v>461</v>
      </c>
      <c r="N358" s="606" t="s">
        <v>461</v>
      </c>
      <c r="O358" s="606"/>
    </row>
    <row r="359" spans="12:15" x14ac:dyDescent="0.3">
      <c r="L359" s="606" t="s">
        <v>1343</v>
      </c>
      <c r="M359" s="606" t="s">
        <v>461</v>
      </c>
      <c r="N359" s="606" t="s">
        <v>461</v>
      </c>
      <c r="O359" s="606"/>
    </row>
    <row r="360" spans="12:15" x14ac:dyDescent="0.3">
      <c r="L360" s="606" t="s">
        <v>1344</v>
      </c>
      <c r="M360" s="606" t="s">
        <v>461</v>
      </c>
      <c r="N360" s="606" t="s">
        <v>461</v>
      </c>
      <c r="O360" s="606"/>
    </row>
    <row r="361" spans="12:15" x14ac:dyDescent="0.3">
      <c r="L361" s="606" t="s">
        <v>1345</v>
      </c>
      <c r="M361" s="606" t="s">
        <v>461</v>
      </c>
      <c r="N361" s="606" t="s">
        <v>461</v>
      </c>
      <c r="O361" s="606"/>
    </row>
    <row r="362" spans="12:15" x14ac:dyDescent="0.3">
      <c r="L362" s="606" t="s">
        <v>1346</v>
      </c>
      <c r="M362" s="606" t="s">
        <v>461</v>
      </c>
      <c r="N362" s="606" t="s">
        <v>461</v>
      </c>
      <c r="O362" s="606"/>
    </row>
    <row r="363" spans="12:15" x14ac:dyDescent="0.3">
      <c r="L363" s="606" t="s">
        <v>1347</v>
      </c>
      <c r="M363" s="606" t="s">
        <v>461</v>
      </c>
      <c r="N363" s="606" t="s">
        <v>461</v>
      </c>
      <c r="O363" s="606"/>
    </row>
    <row r="364" spans="12:15" x14ac:dyDescent="0.3">
      <c r="L364" s="606" t="s">
        <v>1348</v>
      </c>
      <c r="M364" s="606" t="s">
        <v>461</v>
      </c>
      <c r="N364" s="606" t="s">
        <v>461</v>
      </c>
      <c r="O364" s="606"/>
    </row>
    <row r="365" spans="12:15" x14ac:dyDescent="0.3">
      <c r="L365" s="606" t="s">
        <v>1349</v>
      </c>
      <c r="M365" s="606" t="s">
        <v>461</v>
      </c>
      <c r="N365" s="606" t="s">
        <v>461</v>
      </c>
      <c r="O365" s="606"/>
    </row>
    <row r="366" spans="12:15" x14ac:dyDescent="0.3">
      <c r="L366" s="606" t="s">
        <v>1350</v>
      </c>
      <c r="M366" s="606" t="s">
        <v>461</v>
      </c>
      <c r="N366" s="606" t="s">
        <v>461</v>
      </c>
      <c r="O366" s="606"/>
    </row>
    <row r="367" spans="12:15" x14ac:dyDescent="0.3">
      <c r="L367" s="606" t="s">
        <v>1351</v>
      </c>
      <c r="M367" s="606" t="s">
        <v>461</v>
      </c>
      <c r="N367" s="606" t="s">
        <v>461</v>
      </c>
      <c r="O367" s="606"/>
    </row>
    <row r="368" spans="12:15" x14ac:dyDescent="0.3">
      <c r="L368" s="606" t="s">
        <v>1352</v>
      </c>
      <c r="M368" s="606" t="s">
        <v>461</v>
      </c>
      <c r="N368" s="606" t="s">
        <v>461</v>
      </c>
      <c r="O368" s="606"/>
    </row>
    <row r="369" spans="12:16" x14ac:dyDescent="0.3">
      <c r="L369" s="606" t="s">
        <v>1353</v>
      </c>
      <c r="M369" s="606" t="s">
        <v>461</v>
      </c>
      <c r="N369" s="606" t="s">
        <v>461</v>
      </c>
      <c r="O369" s="606"/>
    </row>
    <row r="370" spans="12:16" x14ac:dyDescent="0.3">
      <c r="L370" s="606" t="s">
        <v>1354</v>
      </c>
      <c r="M370" s="606" t="s">
        <v>461</v>
      </c>
      <c r="N370" s="606" t="s">
        <v>461</v>
      </c>
      <c r="O370" s="606"/>
    </row>
    <row r="371" spans="12:16" x14ac:dyDescent="0.3">
      <c r="L371" s="606" t="s">
        <v>1355</v>
      </c>
      <c r="M371" s="606" t="s">
        <v>461</v>
      </c>
      <c r="N371" s="606" t="s">
        <v>461</v>
      </c>
      <c r="O371" s="606"/>
    </row>
    <row r="372" spans="12:16" x14ac:dyDescent="0.3">
      <c r="L372" s="608" t="s">
        <v>528</v>
      </c>
      <c r="M372" s="608">
        <v>0.03</v>
      </c>
      <c r="N372" s="608">
        <v>0.05</v>
      </c>
      <c r="O372" s="606" t="s">
        <v>1455</v>
      </c>
      <c r="P372" s="615" t="s">
        <v>1451</v>
      </c>
    </row>
    <row r="373" spans="12:16" x14ac:dyDescent="0.3">
      <c r="L373" s="606" t="s">
        <v>529</v>
      </c>
      <c r="M373" s="606" t="s">
        <v>461</v>
      </c>
      <c r="N373" s="606" t="s">
        <v>461</v>
      </c>
      <c r="O373" s="606"/>
    </row>
    <row r="374" spans="12:16" x14ac:dyDescent="0.3">
      <c r="L374" s="606" t="s">
        <v>1356</v>
      </c>
      <c r="M374" s="606" t="s">
        <v>461</v>
      </c>
      <c r="N374" s="606" t="s">
        <v>461</v>
      </c>
      <c r="O374" s="606"/>
    </row>
    <row r="375" spans="12:16" x14ac:dyDescent="0.3">
      <c r="L375" s="606" t="s">
        <v>1357</v>
      </c>
      <c r="M375" s="606" t="s">
        <v>461</v>
      </c>
      <c r="N375" s="606" t="s">
        <v>461</v>
      </c>
      <c r="O375" s="606"/>
    </row>
    <row r="376" spans="12:16" x14ac:dyDescent="0.3">
      <c r="L376" s="606" t="s">
        <v>1358</v>
      </c>
      <c r="M376" s="606" t="s">
        <v>461</v>
      </c>
      <c r="N376" s="606" t="s">
        <v>461</v>
      </c>
      <c r="O376" s="606"/>
    </row>
    <row r="377" spans="12:16" x14ac:dyDescent="0.3">
      <c r="L377" s="606" t="s">
        <v>1359</v>
      </c>
      <c r="M377" s="606" t="s">
        <v>461</v>
      </c>
      <c r="N377" s="606" t="s">
        <v>461</v>
      </c>
      <c r="O377" s="606"/>
    </row>
    <row r="378" spans="12:16" x14ac:dyDescent="0.3">
      <c r="L378" s="606" t="s">
        <v>1360</v>
      </c>
      <c r="M378" s="606" t="s">
        <v>461</v>
      </c>
      <c r="N378" s="606" t="s">
        <v>461</v>
      </c>
      <c r="O378" s="606" t="s">
        <v>1546</v>
      </c>
    </row>
    <row r="379" spans="12:16" x14ac:dyDescent="0.3">
      <c r="L379" s="609" t="s">
        <v>1361</v>
      </c>
      <c r="M379" s="609" t="s">
        <v>461</v>
      </c>
      <c r="N379" s="609" t="s">
        <v>461</v>
      </c>
      <c r="O379" s="606" t="s">
        <v>1450</v>
      </c>
    </row>
    <row r="380" spans="12:16" x14ac:dyDescent="0.3">
      <c r="L380" s="606" t="s">
        <v>1362</v>
      </c>
      <c r="M380" s="606" t="s">
        <v>461</v>
      </c>
      <c r="N380" s="606" t="s">
        <v>461</v>
      </c>
      <c r="O380" s="606"/>
    </row>
    <row r="381" spans="12:16" x14ac:dyDescent="0.3">
      <c r="L381" s="606" t="s">
        <v>1363</v>
      </c>
      <c r="M381" s="606" t="s">
        <v>461</v>
      </c>
      <c r="N381" s="606" t="s">
        <v>461</v>
      </c>
      <c r="O381" s="606"/>
    </row>
    <row r="382" spans="12:16" x14ac:dyDescent="0.3">
      <c r="L382" s="606" t="s">
        <v>1364</v>
      </c>
      <c r="M382" s="606" t="s">
        <v>461</v>
      </c>
      <c r="N382" s="606" t="s">
        <v>461</v>
      </c>
      <c r="O382" s="606"/>
    </row>
    <row r="383" spans="12:16" x14ac:dyDescent="0.3">
      <c r="L383" s="606" t="s">
        <v>824</v>
      </c>
      <c r="M383" s="606" t="s">
        <v>461</v>
      </c>
      <c r="N383" s="606" t="s">
        <v>461</v>
      </c>
      <c r="O383" s="606"/>
    </row>
    <row r="384" spans="12:16" x14ac:dyDescent="0.3">
      <c r="L384" s="606" t="s">
        <v>1365</v>
      </c>
      <c r="M384" s="606" t="s">
        <v>461</v>
      </c>
      <c r="N384" s="606" t="s">
        <v>461</v>
      </c>
      <c r="O384" s="606"/>
    </row>
    <row r="385" spans="12:16" x14ac:dyDescent="0.3">
      <c r="L385" s="606" t="s">
        <v>530</v>
      </c>
      <c r="M385" s="606" t="s">
        <v>461</v>
      </c>
      <c r="N385" s="606" t="s">
        <v>461</v>
      </c>
      <c r="O385" s="606"/>
    </row>
    <row r="386" spans="12:16" x14ac:dyDescent="0.3">
      <c r="L386" s="606" t="s">
        <v>531</v>
      </c>
      <c r="M386" s="606" t="s">
        <v>461</v>
      </c>
      <c r="N386" s="606" t="s">
        <v>461</v>
      </c>
      <c r="O386" s="606"/>
    </row>
    <row r="387" spans="12:16" x14ac:dyDescent="0.3">
      <c r="L387" s="606" t="s">
        <v>1366</v>
      </c>
      <c r="M387" s="606" t="s">
        <v>461</v>
      </c>
      <c r="N387" s="606" t="s">
        <v>461</v>
      </c>
      <c r="O387" s="606"/>
    </row>
    <row r="388" spans="12:16" x14ac:dyDescent="0.3">
      <c r="L388" s="606" t="s">
        <v>1367</v>
      </c>
      <c r="M388" s="606" t="s">
        <v>461</v>
      </c>
      <c r="N388" s="606" t="s">
        <v>461</v>
      </c>
      <c r="O388" s="606"/>
    </row>
    <row r="389" spans="12:16" x14ac:dyDescent="0.3">
      <c r="L389" s="606" t="s">
        <v>532</v>
      </c>
      <c r="M389" s="606" t="s">
        <v>461</v>
      </c>
      <c r="N389" s="606" t="s">
        <v>461</v>
      </c>
      <c r="O389" s="606"/>
    </row>
    <row r="390" spans="12:16" x14ac:dyDescent="0.3">
      <c r="L390" s="606" t="s">
        <v>533</v>
      </c>
      <c r="M390" s="606" t="s">
        <v>461</v>
      </c>
      <c r="N390" s="606" t="s">
        <v>461</v>
      </c>
      <c r="O390" s="606"/>
    </row>
    <row r="391" spans="12:16" x14ac:dyDescent="0.3">
      <c r="L391" s="606" t="s">
        <v>1368</v>
      </c>
      <c r="M391" s="606" t="s">
        <v>461</v>
      </c>
      <c r="N391" s="606" t="s">
        <v>461</v>
      </c>
      <c r="O391" s="606"/>
    </row>
    <row r="392" spans="12:16" x14ac:dyDescent="0.3">
      <c r="L392" s="606" t="s">
        <v>1369</v>
      </c>
      <c r="M392" s="606" t="s">
        <v>461</v>
      </c>
      <c r="N392" s="606" t="s">
        <v>461</v>
      </c>
      <c r="O392" s="606"/>
    </row>
    <row r="393" spans="12:16" x14ac:dyDescent="0.3">
      <c r="L393" s="606" t="s">
        <v>534</v>
      </c>
      <c r="M393" s="606" t="s">
        <v>461</v>
      </c>
      <c r="N393" s="606" t="s">
        <v>461</v>
      </c>
      <c r="O393" s="606"/>
    </row>
    <row r="394" spans="12:16" x14ac:dyDescent="0.3">
      <c r="L394" s="606" t="s">
        <v>1370</v>
      </c>
      <c r="M394" s="606" t="s">
        <v>461</v>
      </c>
      <c r="N394" s="606" t="s">
        <v>461</v>
      </c>
      <c r="O394" s="606"/>
    </row>
    <row r="395" spans="12:16" x14ac:dyDescent="0.3">
      <c r="L395" s="606" t="s">
        <v>535</v>
      </c>
      <c r="M395" s="606" t="s">
        <v>461</v>
      </c>
      <c r="N395" s="606" t="s">
        <v>461</v>
      </c>
      <c r="O395" s="606"/>
    </row>
    <row r="396" spans="12:16" x14ac:dyDescent="0.3">
      <c r="L396" s="606" t="s">
        <v>1371</v>
      </c>
      <c r="M396" s="606" t="s">
        <v>461</v>
      </c>
      <c r="N396" s="606" t="s">
        <v>461</v>
      </c>
      <c r="O396" s="606"/>
    </row>
    <row r="397" spans="12:16" x14ac:dyDescent="0.3">
      <c r="L397" s="606" t="s">
        <v>1372</v>
      </c>
      <c r="M397" s="606" t="s">
        <v>461</v>
      </c>
      <c r="N397" s="606" t="s">
        <v>461</v>
      </c>
      <c r="O397" s="606"/>
    </row>
    <row r="398" spans="12:16" x14ac:dyDescent="0.3">
      <c r="L398" s="606" t="s">
        <v>1373</v>
      </c>
      <c r="M398" s="606" t="s">
        <v>461</v>
      </c>
      <c r="N398" s="606" t="s">
        <v>461</v>
      </c>
      <c r="O398" s="606"/>
    </row>
    <row r="399" spans="12:16" x14ac:dyDescent="0.3">
      <c r="L399" s="608" t="s">
        <v>536</v>
      </c>
      <c r="M399" s="608">
        <v>0.03</v>
      </c>
      <c r="N399" s="608">
        <v>0.05</v>
      </c>
      <c r="O399" s="606" t="s">
        <v>1455</v>
      </c>
      <c r="P399" s="615" t="s">
        <v>1451</v>
      </c>
    </row>
    <row r="400" spans="12:16" x14ac:dyDescent="0.3">
      <c r="L400" s="606" t="s">
        <v>1374</v>
      </c>
      <c r="M400" s="606" t="s">
        <v>461</v>
      </c>
      <c r="N400" s="606" t="s">
        <v>461</v>
      </c>
      <c r="O400" s="606"/>
    </row>
    <row r="401" spans="12:16" x14ac:dyDescent="0.3">
      <c r="L401" s="606" t="s">
        <v>1375</v>
      </c>
      <c r="M401" s="606" t="s">
        <v>461</v>
      </c>
      <c r="N401" s="606" t="s">
        <v>461</v>
      </c>
      <c r="O401" s="606"/>
    </row>
    <row r="402" spans="12:16" x14ac:dyDescent="0.3">
      <c r="L402" s="606" t="s">
        <v>1376</v>
      </c>
      <c r="M402" s="606" t="s">
        <v>461</v>
      </c>
      <c r="N402" s="606" t="s">
        <v>461</v>
      </c>
      <c r="O402" s="606"/>
    </row>
    <row r="403" spans="12:16" x14ac:dyDescent="0.3">
      <c r="L403" s="606" t="s">
        <v>537</v>
      </c>
      <c r="M403" s="606" t="s">
        <v>461</v>
      </c>
      <c r="N403" s="606" t="s">
        <v>461</v>
      </c>
      <c r="O403" s="606"/>
    </row>
    <row r="404" spans="12:16" x14ac:dyDescent="0.3">
      <c r="L404" s="606" t="s">
        <v>825</v>
      </c>
      <c r="M404" s="606" t="s">
        <v>461</v>
      </c>
      <c r="N404" s="606" t="s">
        <v>461</v>
      </c>
      <c r="O404" s="606"/>
    </row>
    <row r="405" spans="12:16" x14ac:dyDescent="0.3">
      <c r="L405" s="606" t="s">
        <v>1377</v>
      </c>
      <c r="M405" s="606" t="s">
        <v>461</v>
      </c>
      <c r="N405" s="606" t="s">
        <v>461</v>
      </c>
      <c r="O405" s="606"/>
    </row>
    <row r="406" spans="12:16" x14ac:dyDescent="0.3">
      <c r="L406" s="606" t="s">
        <v>1378</v>
      </c>
      <c r="M406" s="606" t="s">
        <v>461</v>
      </c>
      <c r="N406" s="606" t="s">
        <v>461</v>
      </c>
      <c r="O406" s="606"/>
    </row>
    <row r="407" spans="12:16" x14ac:dyDescent="0.3">
      <c r="L407" s="606" t="s">
        <v>1379</v>
      </c>
      <c r="M407" s="606" t="s">
        <v>461</v>
      </c>
      <c r="N407" s="606" t="s">
        <v>461</v>
      </c>
      <c r="O407" s="606"/>
    </row>
    <row r="408" spans="12:16" x14ac:dyDescent="0.3">
      <c r="L408" s="606" t="s">
        <v>538</v>
      </c>
      <c r="M408" s="606" t="s">
        <v>461</v>
      </c>
      <c r="N408" s="606" t="s">
        <v>461</v>
      </c>
      <c r="O408" s="606"/>
    </row>
    <row r="409" spans="12:16" x14ac:dyDescent="0.3">
      <c r="L409" s="606" t="s">
        <v>1380</v>
      </c>
      <c r="M409" s="606" t="s">
        <v>461</v>
      </c>
      <c r="N409" s="606" t="s">
        <v>461</v>
      </c>
      <c r="O409" s="606"/>
    </row>
    <row r="410" spans="12:16" x14ac:dyDescent="0.3">
      <c r="L410" s="608" t="s">
        <v>539</v>
      </c>
      <c r="M410" s="608">
        <v>0.03</v>
      </c>
      <c r="N410" s="608">
        <v>0.05</v>
      </c>
      <c r="O410" s="606" t="s">
        <v>1455</v>
      </c>
      <c r="P410" s="615" t="s">
        <v>1451</v>
      </c>
    </row>
    <row r="411" spans="12:16" x14ac:dyDescent="0.3">
      <c r="L411" s="606" t="s">
        <v>391</v>
      </c>
      <c r="M411" s="606" t="s">
        <v>461</v>
      </c>
      <c r="N411" s="606" t="s">
        <v>461</v>
      </c>
      <c r="O411" s="606"/>
    </row>
    <row r="412" spans="12:16" x14ac:dyDescent="0.3">
      <c r="L412" s="606" t="s">
        <v>1381</v>
      </c>
      <c r="M412" s="606" t="s">
        <v>461</v>
      </c>
      <c r="N412" s="606" t="s">
        <v>461</v>
      </c>
      <c r="O412" s="606"/>
    </row>
    <row r="413" spans="12:16" x14ac:dyDescent="0.3">
      <c r="L413" s="608" t="s">
        <v>1382</v>
      </c>
      <c r="M413" s="608">
        <v>0.03</v>
      </c>
      <c r="N413" s="608">
        <v>0.05</v>
      </c>
      <c r="O413" s="606" t="s">
        <v>1455</v>
      </c>
      <c r="P413" s="615" t="s">
        <v>1451</v>
      </c>
    </row>
    <row r="414" spans="12:16" x14ac:dyDescent="0.3">
      <c r="L414" s="606" t="s">
        <v>1383</v>
      </c>
      <c r="M414" s="606" t="s">
        <v>461</v>
      </c>
      <c r="N414" s="606" t="s">
        <v>461</v>
      </c>
      <c r="O414" s="606"/>
    </row>
    <row r="415" spans="12:16" x14ac:dyDescent="0.3">
      <c r="L415" s="606" t="s">
        <v>540</v>
      </c>
      <c r="M415" s="606" t="s">
        <v>461</v>
      </c>
      <c r="N415" s="606" t="s">
        <v>461</v>
      </c>
      <c r="O415" s="606"/>
    </row>
    <row r="416" spans="12:16" x14ac:dyDescent="0.3">
      <c r="L416" s="606" t="s">
        <v>1384</v>
      </c>
      <c r="M416" s="606" t="s">
        <v>461</v>
      </c>
      <c r="N416" s="606" t="s">
        <v>461</v>
      </c>
      <c r="O416" s="606"/>
    </row>
    <row r="417" spans="12:15" x14ac:dyDescent="0.3">
      <c r="L417" s="606" t="s">
        <v>1385</v>
      </c>
      <c r="M417" s="606" t="s">
        <v>461</v>
      </c>
      <c r="N417" s="606" t="s">
        <v>461</v>
      </c>
      <c r="O417" s="606"/>
    </row>
    <row r="418" spans="12:15" x14ac:dyDescent="0.3">
      <c r="L418" s="606" t="s">
        <v>826</v>
      </c>
      <c r="M418" s="606" t="s">
        <v>461</v>
      </c>
      <c r="N418" s="606" t="s">
        <v>461</v>
      </c>
      <c r="O418" s="606"/>
    </row>
    <row r="419" spans="12:15" x14ac:dyDescent="0.3">
      <c r="L419" s="606" t="s">
        <v>827</v>
      </c>
      <c r="M419" s="606" t="s">
        <v>461</v>
      </c>
      <c r="N419" s="606" t="s">
        <v>461</v>
      </c>
      <c r="O419" s="606"/>
    </row>
    <row r="420" spans="12:15" x14ac:dyDescent="0.3">
      <c r="L420" s="606" t="s">
        <v>828</v>
      </c>
      <c r="M420" s="606" t="s">
        <v>461</v>
      </c>
      <c r="N420" s="606" t="s">
        <v>461</v>
      </c>
      <c r="O420" s="606"/>
    </row>
    <row r="421" spans="12:15" x14ac:dyDescent="0.3">
      <c r="L421" s="606" t="s">
        <v>829</v>
      </c>
      <c r="M421" s="606" t="s">
        <v>461</v>
      </c>
      <c r="N421" s="606" t="s">
        <v>461</v>
      </c>
      <c r="O421" s="606"/>
    </row>
    <row r="422" spans="12:15" x14ac:dyDescent="0.3">
      <c r="L422" s="606" t="s">
        <v>1386</v>
      </c>
      <c r="M422" s="606" t="s">
        <v>461</v>
      </c>
      <c r="N422" s="606" t="s">
        <v>461</v>
      </c>
      <c r="O422" s="606"/>
    </row>
    <row r="423" spans="12:15" x14ac:dyDescent="0.3">
      <c r="L423" s="606" t="s">
        <v>1387</v>
      </c>
      <c r="M423" s="606" t="s">
        <v>461</v>
      </c>
      <c r="N423" s="606" t="s">
        <v>461</v>
      </c>
      <c r="O423" s="606"/>
    </row>
    <row r="424" spans="12:15" x14ac:dyDescent="0.3">
      <c r="L424" s="606" t="s">
        <v>830</v>
      </c>
      <c r="M424" s="606" t="s">
        <v>461</v>
      </c>
      <c r="N424" s="606" t="s">
        <v>461</v>
      </c>
      <c r="O424" s="606"/>
    </row>
    <row r="425" spans="12:15" x14ac:dyDescent="0.3">
      <c r="L425" s="606" t="s">
        <v>1388</v>
      </c>
      <c r="M425" s="606" t="s">
        <v>461</v>
      </c>
      <c r="N425" s="606" t="s">
        <v>461</v>
      </c>
      <c r="O425" s="606"/>
    </row>
    <row r="426" spans="12:15" x14ac:dyDescent="0.3">
      <c r="L426" s="606" t="s">
        <v>1389</v>
      </c>
      <c r="M426" s="606" t="s">
        <v>461</v>
      </c>
      <c r="N426" s="606" t="s">
        <v>461</v>
      </c>
      <c r="O426" s="606"/>
    </row>
    <row r="427" spans="12:15" x14ac:dyDescent="0.3">
      <c r="L427" s="606" t="s">
        <v>1390</v>
      </c>
      <c r="M427" s="606" t="s">
        <v>461</v>
      </c>
      <c r="N427" s="606" t="s">
        <v>461</v>
      </c>
      <c r="O427" s="606"/>
    </row>
    <row r="428" spans="12:15" x14ac:dyDescent="0.3">
      <c r="L428" s="606" t="s">
        <v>1391</v>
      </c>
      <c r="M428" s="606" t="s">
        <v>461</v>
      </c>
      <c r="N428" s="606" t="s">
        <v>461</v>
      </c>
      <c r="O428" s="606"/>
    </row>
    <row r="429" spans="12:15" x14ac:dyDescent="0.3">
      <c r="L429" s="606" t="s">
        <v>1392</v>
      </c>
      <c r="M429" s="606" t="s">
        <v>461</v>
      </c>
      <c r="N429" s="606" t="s">
        <v>461</v>
      </c>
      <c r="O429" s="606"/>
    </row>
    <row r="430" spans="12:15" x14ac:dyDescent="0.3">
      <c r="L430" s="606" t="s">
        <v>1393</v>
      </c>
      <c r="M430" s="606" t="s">
        <v>461</v>
      </c>
      <c r="N430" s="606" t="s">
        <v>461</v>
      </c>
      <c r="O430" s="606"/>
    </row>
    <row r="431" spans="12:15" x14ac:dyDescent="0.3">
      <c r="L431" s="606" t="s">
        <v>1394</v>
      </c>
      <c r="M431" s="606" t="s">
        <v>461</v>
      </c>
      <c r="N431" s="606" t="s">
        <v>461</v>
      </c>
      <c r="O431" s="606"/>
    </row>
    <row r="432" spans="12:15" x14ac:dyDescent="0.3">
      <c r="L432" s="606" t="s">
        <v>1395</v>
      </c>
      <c r="M432" s="606" t="s">
        <v>461</v>
      </c>
      <c r="N432" s="606" t="s">
        <v>461</v>
      </c>
      <c r="O432" s="606"/>
    </row>
    <row r="433" spans="12:16" x14ac:dyDescent="0.3">
      <c r="L433" s="606" t="s">
        <v>1396</v>
      </c>
      <c r="M433" s="606" t="s">
        <v>461</v>
      </c>
      <c r="N433" s="606" t="s">
        <v>461</v>
      </c>
      <c r="O433" s="606"/>
    </row>
    <row r="434" spans="12:16" x14ac:dyDescent="0.3">
      <c r="L434" s="606" t="s">
        <v>1397</v>
      </c>
      <c r="M434" s="606" t="s">
        <v>461</v>
      </c>
      <c r="N434" s="606" t="s">
        <v>461</v>
      </c>
      <c r="O434" s="606"/>
    </row>
    <row r="435" spans="12:16" x14ac:dyDescent="0.3">
      <c r="L435" s="608" t="s">
        <v>542</v>
      </c>
      <c r="M435" s="608">
        <v>0.03</v>
      </c>
      <c r="N435" s="608">
        <v>0.05</v>
      </c>
      <c r="O435" s="606" t="s">
        <v>1455</v>
      </c>
      <c r="P435" s="615" t="s">
        <v>1451</v>
      </c>
    </row>
    <row r="436" spans="12:16" x14ac:dyDescent="0.3">
      <c r="L436" s="606" t="s">
        <v>1398</v>
      </c>
      <c r="M436" s="606" t="s">
        <v>461</v>
      </c>
      <c r="N436" s="606" t="s">
        <v>461</v>
      </c>
      <c r="O436" s="606"/>
    </row>
    <row r="437" spans="12:16" x14ac:dyDescent="0.3">
      <c r="L437" s="606" t="s">
        <v>1399</v>
      </c>
      <c r="M437" s="606" t="s">
        <v>461</v>
      </c>
      <c r="N437" s="606" t="s">
        <v>461</v>
      </c>
      <c r="O437" s="606"/>
    </row>
    <row r="438" spans="12:16" x14ac:dyDescent="0.3">
      <c r="L438" s="606" t="s">
        <v>543</v>
      </c>
      <c r="M438" s="606" t="s">
        <v>461</v>
      </c>
      <c r="N438" s="606" t="s">
        <v>461</v>
      </c>
      <c r="O438" s="606"/>
    </row>
    <row r="439" spans="12:16" x14ac:dyDescent="0.3">
      <c r="L439" s="608" t="s">
        <v>1400</v>
      </c>
      <c r="M439" s="608">
        <v>0.03</v>
      </c>
      <c r="N439" s="608">
        <v>0.05</v>
      </c>
      <c r="O439" s="606" t="s">
        <v>1455</v>
      </c>
      <c r="P439" s="615" t="s">
        <v>1451</v>
      </c>
    </row>
    <row r="440" spans="12:16" x14ac:dyDescent="0.3">
      <c r="L440" s="606" t="s">
        <v>1401</v>
      </c>
      <c r="M440" s="606" t="s">
        <v>461</v>
      </c>
      <c r="N440" s="606" t="s">
        <v>461</v>
      </c>
      <c r="O440" s="606"/>
    </row>
    <row r="441" spans="12:16" x14ac:dyDescent="0.3">
      <c r="L441" s="606" t="s">
        <v>1402</v>
      </c>
      <c r="M441" s="606" t="s">
        <v>461</v>
      </c>
      <c r="N441" s="606" t="s">
        <v>461</v>
      </c>
      <c r="O441" s="606"/>
    </row>
    <row r="442" spans="12:16" x14ac:dyDescent="0.3">
      <c r="L442" s="606" t="s">
        <v>1403</v>
      </c>
      <c r="M442" s="606" t="s">
        <v>461</v>
      </c>
      <c r="N442" s="606" t="s">
        <v>461</v>
      </c>
      <c r="O442" s="606"/>
    </row>
    <row r="443" spans="12:16" x14ac:dyDescent="0.3">
      <c r="L443" s="606" t="s">
        <v>1404</v>
      </c>
      <c r="M443" s="606" t="s">
        <v>461</v>
      </c>
      <c r="N443" s="606" t="s">
        <v>461</v>
      </c>
      <c r="O443" s="606"/>
    </row>
    <row r="444" spans="12:16" x14ac:dyDescent="0.3">
      <c r="L444" s="606" t="s">
        <v>544</v>
      </c>
      <c r="M444" s="606" t="s">
        <v>461</v>
      </c>
      <c r="N444" s="606" t="s">
        <v>461</v>
      </c>
      <c r="O444" s="606" t="s">
        <v>1546</v>
      </c>
    </row>
    <row r="445" spans="12:16" x14ac:dyDescent="0.3">
      <c r="L445" s="609" t="s">
        <v>1405</v>
      </c>
      <c r="M445" s="609">
        <v>0.03</v>
      </c>
      <c r="N445" s="610" t="s">
        <v>461</v>
      </c>
      <c r="O445" s="606" t="s">
        <v>1450</v>
      </c>
    </row>
    <row r="446" spans="12:16" x14ac:dyDescent="0.3">
      <c r="L446" s="606" t="s">
        <v>831</v>
      </c>
      <c r="M446" s="606" t="s">
        <v>461</v>
      </c>
      <c r="N446" s="606" t="s">
        <v>461</v>
      </c>
      <c r="O446" s="606"/>
    </row>
    <row r="447" spans="12:16" x14ac:dyDescent="0.3">
      <c r="L447" s="606" t="s">
        <v>1406</v>
      </c>
      <c r="M447" s="606" t="s">
        <v>461</v>
      </c>
      <c r="N447" s="606" t="s">
        <v>461</v>
      </c>
      <c r="O447" s="606"/>
    </row>
    <row r="448" spans="12:16" x14ac:dyDescent="0.3">
      <c r="L448" s="606" t="s">
        <v>1407</v>
      </c>
      <c r="M448" s="606" t="s">
        <v>461</v>
      </c>
      <c r="N448" s="606" t="s">
        <v>461</v>
      </c>
      <c r="O448" s="606"/>
    </row>
    <row r="449" spans="12:16" x14ac:dyDescent="0.3">
      <c r="L449" s="608" t="s">
        <v>1408</v>
      </c>
      <c r="M449" s="608">
        <v>0.03</v>
      </c>
      <c r="N449" s="608">
        <v>0.05</v>
      </c>
      <c r="O449" s="606" t="s">
        <v>1455</v>
      </c>
      <c r="P449" s="615" t="s">
        <v>1451</v>
      </c>
    </row>
    <row r="450" spans="12:16" x14ac:dyDescent="0.3">
      <c r="L450" s="606" t="s">
        <v>545</v>
      </c>
      <c r="M450" s="606" t="s">
        <v>461</v>
      </c>
      <c r="N450" s="606" t="s">
        <v>461</v>
      </c>
      <c r="O450" s="606"/>
    </row>
    <row r="451" spans="12:16" x14ac:dyDescent="0.3">
      <c r="L451" s="606" t="s">
        <v>1409</v>
      </c>
      <c r="M451" s="606" t="s">
        <v>461</v>
      </c>
      <c r="N451" s="606" t="s">
        <v>461</v>
      </c>
      <c r="O451" s="606"/>
    </row>
    <row r="452" spans="12:16" x14ac:dyDescent="0.3">
      <c r="L452" s="606" t="s">
        <v>1410</v>
      </c>
      <c r="M452" s="606" t="s">
        <v>461</v>
      </c>
      <c r="N452" s="606" t="s">
        <v>461</v>
      </c>
      <c r="O452" s="606"/>
    </row>
    <row r="453" spans="12:16" x14ac:dyDescent="0.3">
      <c r="L453" s="608" t="s">
        <v>1411</v>
      </c>
      <c r="M453" s="608">
        <v>0.03</v>
      </c>
      <c r="N453" s="608">
        <v>0.05</v>
      </c>
      <c r="O453" s="606" t="s">
        <v>1455</v>
      </c>
      <c r="P453" s="615" t="s">
        <v>1451</v>
      </c>
    </row>
    <row r="454" spans="12:16" x14ac:dyDescent="0.3">
      <c r="L454" s="606" t="s">
        <v>1412</v>
      </c>
      <c r="M454" s="606" t="s">
        <v>461</v>
      </c>
      <c r="N454" s="606" t="s">
        <v>461</v>
      </c>
      <c r="O454" s="606"/>
    </row>
    <row r="455" spans="12:16" x14ac:dyDescent="0.3">
      <c r="L455" s="606" t="s">
        <v>1413</v>
      </c>
      <c r="M455" s="606" t="s">
        <v>461</v>
      </c>
      <c r="N455" s="606" t="s">
        <v>461</v>
      </c>
      <c r="O455" s="606"/>
    </row>
    <row r="456" spans="12:16" x14ac:dyDescent="0.3">
      <c r="L456" s="606" t="s">
        <v>1414</v>
      </c>
      <c r="M456" s="606" t="s">
        <v>461</v>
      </c>
      <c r="N456" s="606" t="s">
        <v>461</v>
      </c>
      <c r="O456" s="606"/>
    </row>
    <row r="457" spans="12:16" x14ac:dyDescent="0.3">
      <c r="L457" s="606" t="s">
        <v>1425</v>
      </c>
      <c r="M457" s="606" t="s">
        <v>461</v>
      </c>
      <c r="N457" s="606" t="s">
        <v>461</v>
      </c>
      <c r="O457" s="606"/>
    </row>
    <row r="458" spans="12:16" x14ac:dyDescent="0.3">
      <c r="L458" s="606" t="s">
        <v>1415</v>
      </c>
      <c r="M458" s="606" t="s">
        <v>461</v>
      </c>
      <c r="N458" s="606" t="s">
        <v>461</v>
      </c>
      <c r="O458" s="606"/>
    </row>
    <row r="459" spans="12:16" x14ac:dyDescent="0.3">
      <c r="L459" s="606" t="s">
        <v>1416</v>
      </c>
      <c r="M459" s="606" t="s">
        <v>461</v>
      </c>
      <c r="N459" s="606" t="s">
        <v>461</v>
      </c>
      <c r="O459" s="606"/>
    </row>
    <row r="460" spans="12:16" x14ac:dyDescent="0.3">
      <c r="L460" s="606" t="s">
        <v>546</v>
      </c>
      <c r="M460" s="606" t="s">
        <v>461</v>
      </c>
      <c r="N460" s="606" t="s">
        <v>461</v>
      </c>
      <c r="O460" s="606"/>
    </row>
    <row r="461" spans="12:16" x14ac:dyDescent="0.3">
      <c r="L461" s="606" t="s">
        <v>1417</v>
      </c>
      <c r="M461" s="606" t="s">
        <v>461</v>
      </c>
      <c r="N461" s="606" t="s">
        <v>461</v>
      </c>
      <c r="O461" s="606"/>
    </row>
    <row r="462" spans="12:16" x14ac:dyDescent="0.3">
      <c r="L462" s="606" t="s">
        <v>981</v>
      </c>
      <c r="M462" s="606" t="s">
        <v>461</v>
      </c>
      <c r="N462" s="606" t="s">
        <v>461</v>
      </c>
      <c r="O462" s="606"/>
    </row>
    <row r="463" spans="12:16" x14ac:dyDescent="0.3">
      <c r="L463" s="606" t="s">
        <v>982</v>
      </c>
      <c r="M463" s="606" t="s">
        <v>461</v>
      </c>
      <c r="N463" s="606" t="s">
        <v>461</v>
      </c>
      <c r="O463" s="606"/>
    </row>
    <row r="464" spans="12:16" x14ac:dyDescent="0.3">
      <c r="L464" s="606" t="s">
        <v>983</v>
      </c>
      <c r="M464" s="606" t="s">
        <v>461</v>
      </c>
      <c r="N464" s="606" t="s">
        <v>461</v>
      </c>
      <c r="O464" s="606"/>
    </row>
    <row r="465" spans="12:15" x14ac:dyDescent="0.3">
      <c r="L465" s="606" t="s">
        <v>984</v>
      </c>
      <c r="M465" s="606" t="s">
        <v>461</v>
      </c>
      <c r="N465" s="606" t="s">
        <v>461</v>
      </c>
      <c r="O465" s="606"/>
    </row>
    <row r="466" spans="12:15" x14ac:dyDescent="0.3">
      <c r="L466" s="606" t="s">
        <v>985</v>
      </c>
      <c r="M466" s="606" t="s">
        <v>461</v>
      </c>
      <c r="N466" s="606" t="s">
        <v>461</v>
      </c>
      <c r="O466" s="606"/>
    </row>
    <row r="467" spans="12:15" x14ac:dyDescent="0.3">
      <c r="L467" s="606" t="s">
        <v>986</v>
      </c>
      <c r="M467" s="606" t="s">
        <v>461</v>
      </c>
      <c r="N467" s="606" t="s">
        <v>461</v>
      </c>
      <c r="O467" s="606"/>
    </row>
    <row r="468" spans="12:15" x14ac:dyDescent="0.3">
      <c r="L468" s="606" t="s">
        <v>832</v>
      </c>
      <c r="M468" s="606" t="s">
        <v>461</v>
      </c>
      <c r="N468" s="606" t="s">
        <v>461</v>
      </c>
      <c r="O468" s="606"/>
    </row>
    <row r="469" spans="12:15" x14ac:dyDescent="0.3">
      <c r="L469" s="606" t="s">
        <v>987</v>
      </c>
      <c r="M469" s="606" t="s">
        <v>461</v>
      </c>
      <c r="N469" s="606" t="s">
        <v>461</v>
      </c>
      <c r="O469" s="606" t="s">
        <v>1546</v>
      </c>
    </row>
    <row r="470" spans="12:15" x14ac:dyDescent="0.3">
      <c r="L470" s="606" t="s">
        <v>988</v>
      </c>
      <c r="M470" s="606" t="s">
        <v>461</v>
      </c>
      <c r="N470" s="606" t="s">
        <v>461</v>
      </c>
      <c r="O470" s="606"/>
    </row>
    <row r="471" spans="12:15" x14ac:dyDescent="0.3">
      <c r="L471" s="609" t="s">
        <v>989</v>
      </c>
      <c r="M471" s="609" t="s">
        <v>461</v>
      </c>
      <c r="N471" s="609" t="s">
        <v>461</v>
      </c>
      <c r="O471" s="606" t="s">
        <v>1450</v>
      </c>
    </row>
    <row r="472" spans="12:15" x14ac:dyDescent="0.3">
      <c r="L472" s="606" t="s">
        <v>990</v>
      </c>
      <c r="M472" s="606" t="s">
        <v>461</v>
      </c>
      <c r="N472" s="606" t="s">
        <v>461</v>
      </c>
      <c r="O472" s="606"/>
    </row>
    <row r="473" spans="12:15" x14ac:dyDescent="0.3">
      <c r="L473" s="606" t="s">
        <v>991</v>
      </c>
      <c r="M473" s="606" t="s">
        <v>461</v>
      </c>
      <c r="N473" s="606" t="s">
        <v>461</v>
      </c>
      <c r="O473" s="606"/>
    </row>
    <row r="474" spans="12:15" x14ac:dyDescent="0.3">
      <c r="L474" s="606" t="s">
        <v>992</v>
      </c>
      <c r="M474" s="606" t="s">
        <v>461</v>
      </c>
      <c r="N474" s="606" t="s">
        <v>461</v>
      </c>
      <c r="O474" s="606"/>
    </row>
    <row r="475" spans="12:15" x14ac:dyDescent="0.3">
      <c r="L475" s="606" t="s">
        <v>993</v>
      </c>
      <c r="M475" s="606" t="s">
        <v>461</v>
      </c>
      <c r="N475" s="606" t="s">
        <v>461</v>
      </c>
      <c r="O475" s="606"/>
    </row>
    <row r="476" spans="12:15" x14ac:dyDescent="0.3">
      <c r="L476" s="606" t="s">
        <v>833</v>
      </c>
      <c r="M476" s="606" t="s">
        <v>461</v>
      </c>
      <c r="N476" s="606" t="s">
        <v>461</v>
      </c>
      <c r="O476" s="606"/>
    </row>
    <row r="477" spans="12:15" x14ac:dyDescent="0.3">
      <c r="L477" s="606" t="s">
        <v>994</v>
      </c>
      <c r="M477" s="606" t="s">
        <v>461</v>
      </c>
      <c r="N477" s="606" t="s">
        <v>461</v>
      </c>
      <c r="O477" s="606"/>
    </row>
    <row r="478" spans="12:15" x14ac:dyDescent="0.3">
      <c r="L478" s="606" t="s">
        <v>995</v>
      </c>
      <c r="M478" s="606" t="s">
        <v>461</v>
      </c>
      <c r="N478" s="606" t="s">
        <v>461</v>
      </c>
      <c r="O478" s="606"/>
    </row>
    <row r="479" spans="12:15" x14ac:dyDescent="0.3">
      <c r="L479" s="606" t="s">
        <v>996</v>
      </c>
      <c r="M479" s="606" t="s">
        <v>461</v>
      </c>
      <c r="N479" s="606" t="s">
        <v>461</v>
      </c>
      <c r="O479" s="606"/>
    </row>
    <row r="480" spans="12:15" x14ac:dyDescent="0.3">
      <c r="L480" s="606" t="s">
        <v>997</v>
      </c>
      <c r="M480" s="606" t="s">
        <v>461</v>
      </c>
      <c r="N480" s="606" t="s">
        <v>461</v>
      </c>
      <c r="O480" s="606"/>
    </row>
    <row r="481" spans="12:16" x14ac:dyDescent="0.3">
      <c r="L481" s="606" t="s">
        <v>998</v>
      </c>
      <c r="M481" s="606" t="s">
        <v>461</v>
      </c>
      <c r="N481" s="606" t="s">
        <v>461</v>
      </c>
      <c r="O481" s="606"/>
    </row>
    <row r="482" spans="12:16" x14ac:dyDescent="0.3">
      <c r="L482" s="606" t="s">
        <v>999</v>
      </c>
      <c r="M482" s="606" t="s">
        <v>461</v>
      </c>
      <c r="N482" s="606" t="s">
        <v>461</v>
      </c>
      <c r="O482" s="606"/>
    </row>
    <row r="483" spans="12:16" x14ac:dyDescent="0.3">
      <c r="L483" s="606" t="s">
        <v>1000</v>
      </c>
      <c r="M483" s="606" t="s">
        <v>461</v>
      </c>
      <c r="N483" s="606" t="s">
        <v>461</v>
      </c>
      <c r="O483" s="606"/>
    </row>
    <row r="484" spans="12:16" x14ac:dyDescent="0.3">
      <c r="L484" s="606" t="s">
        <v>1001</v>
      </c>
      <c r="M484" s="606" t="s">
        <v>461</v>
      </c>
      <c r="N484" s="606" t="s">
        <v>461</v>
      </c>
      <c r="O484" s="606"/>
    </row>
    <row r="485" spans="12:16" x14ac:dyDescent="0.3">
      <c r="L485" s="606" t="s">
        <v>834</v>
      </c>
      <c r="M485" s="606" t="s">
        <v>461</v>
      </c>
      <c r="N485" s="606" t="s">
        <v>461</v>
      </c>
      <c r="O485" s="606"/>
    </row>
    <row r="486" spans="12:16" x14ac:dyDescent="0.3">
      <c r="L486" s="606" t="s">
        <v>1002</v>
      </c>
      <c r="M486" s="606" t="s">
        <v>461</v>
      </c>
      <c r="N486" s="606" t="s">
        <v>461</v>
      </c>
      <c r="O486" s="606"/>
    </row>
    <row r="487" spans="12:16" x14ac:dyDescent="0.3">
      <c r="L487" s="608" t="s">
        <v>1003</v>
      </c>
      <c r="M487" s="608">
        <v>0.03</v>
      </c>
      <c r="N487" s="608">
        <v>0.05</v>
      </c>
      <c r="O487" s="606" t="s">
        <v>1455</v>
      </c>
      <c r="P487" s="615" t="s">
        <v>1451</v>
      </c>
    </row>
    <row r="488" spans="12:16" x14ac:dyDescent="0.3">
      <c r="L488" s="606" t="s">
        <v>547</v>
      </c>
      <c r="M488" s="606" t="s">
        <v>461</v>
      </c>
      <c r="N488" s="606" t="s">
        <v>461</v>
      </c>
      <c r="O488" s="606"/>
    </row>
    <row r="489" spans="12:16" x14ac:dyDescent="0.3">
      <c r="L489" s="606" t="s">
        <v>548</v>
      </c>
      <c r="M489" s="606" t="s">
        <v>461</v>
      </c>
      <c r="N489" s="606" t="s">
        <v>461</v>
      </c>
      <c r="O489" s="606"/>
    </row>
    <row r="490" spans="12:16" x14ac:dyDescent="0.3">
      <c r="L490" s="606" t="s">
        <v>835</v>
      </c>
      <c r="M490" s="606" t="s">
        <v>461</v>
      </c>
      <c r="N490" s="606" t="s">
        <v>461</v>
      </c>
      <c r="O490" s="606"/>
    </row>
    <row r="491" spans="12:16" x14ac:dyDescent="0.3">
      <c r="L491" s="606" t="s">
        <v>1004</v>
      </c>
      <c r="M491" s="606" t="s">
        <v>461</v>
      </c>
      <c r="N491" s="606" t="s">
        <v>461</v>
      </c>
      <c r="O491" s="606"/>
    </row>
    <row r="492" spans="12:16" x14ac:dyDescent="0.3">
      <c r="L492" s="606" t="s">
        <v>1005</v>
      </c>
      <c r="M492" s="606" t="s">
        <v>461</v>
      </c>
      <c r="N492" s="606" t="s">
        <v>461</v>
      </c>
      <c r="O492" s="606"/>
    </row>
    <row r="493" spans="12:16" x14ac:dyDescent="0.3">
      <c r="L493" s="606" t="s">
        <v>1006</v>
      </c>
      <c r="M493" s="606" t="s">
        <v>461</v>
      </c>
      <c r="N493" s="606" t="s">
        <v>461</v>
      </c>
      <c r="O493" s="606"/>
    </row>
    <row r="494" spans="12:16" x14ac:dyDescent="0.3">
      <c r="L494" s="606" t="s">
        <v>1007</v>
      </c>
      <c r="M494" s="606" t="s">
        <v>461</v>
      </c>
      <c r="N494" s="606" t="s">
        <v>461</v>
      </c>
      <c r="O494" s="606"/>
    </row>
    <row r="495" spans="12:16" x14ac:dyDescent="0.3">
      <c r="L495" s="606" t="s">
        <v>1008</v>
      </c>
      <c r="M495" s="606" t="s">
        <v>461</v>
      </c>
      <c r="N495" s="606" t="s">
        <v>461</v>
      </c>
      <c r="O495" s="606"/>
    </row>
    <row r="496" spans="12:16" x14ac:dyDescent="0.3">
      <c r="L496" s="606" t="s">
        <v>1009</v>
      </c>
      <c r="M496" s="606" t="s">
        <v>461</v>
      </c>
      <c r="N496" s="606" t="s">
        <v>461</v>
      </c>
      <c r="O496" s="606"/>
    </row>
    <row r="497" spans="12:16" x14ac:dyDescent="0.3">
      <c r="L497" s="606" t="s">
        <v>1010</v>
      </c>
      <c r="M497" s="606" t="s">
        <v>461</v>
      </c>
      <c r="N497" s="606" t="s">
        <v>461</v>
      </c>
      <c r="O497" s="606"/>
    </row>
    <row r="498" spans="12:16" x14ac:dyDescent="0.3">
      <c r="L498" s="606" t="s">
        <v>1011</v>
      </c>
      <c r="M498" s="606" t="s">
        <v>461</v>
      </c>
      <c r="N498" s="606" t="s">
        <v>461</v>
      </c>
      <c r="O498" s="606"/>
    </row>
    <row r="499" spans="12:16" x14ac:dyDescent="0.3">
      <c r="L499" s="606" t="s">
        <v>549</v>
      </c>
      <c r="M499" s="606" t="s">
        <v>461</v>
      </c>
      <c r="N499" s="606" t="s">
        <v>461</v>
      </c>
      <c r="O499" s="606"/>
    </row>
    <row r="500" spans="12:16" x14ac:dyDescent="0.3">
      <c r="L500" s="606" t="s">
        <v>1012</v>
      </c>
      <c r="M500" s="606" t="s">
        <v>461</v>
      </c>
      <c r="N500" s="606" t="s">
        <v>461</v>
      </c>
      <c r="O500" s="606"/>
    </row>
    <row r="501" spans="12:16" x14ac:dyDescent="0.3">
      <c r="L501" s="606" t="s">
        <v>1013</v>
      </c>
      <c r="M501" s="606" t="s">
        <v>461</v>
      </c>
      <c r="N501" s="606" t="s">
        <v>461</v>
      </c>
      <c r="O501" s="606"/>
    </row>
    <row r="502" spans="12:16" x14ac:dyDescent="0.3">
      <c r="L502" s="606" t="s">
        <v>1014</v>
      </c>
      <c r="M502" s="606" t="s">
        <v>461</v>
      </c>
      <c r="N502" s="606" t="s">
        <v>461</v>
      </c>
      <c r="O502" s="606"/>
    </row>
    <row r="503" spans="12:16" x14ac:dyDescent="0.3">
      <c r="L503" s="606" t="s">
        <v>551</v>
      </c>
      <c r="M503" s="606" t="s">
        <v>461</v>
      </c>
      <c r="N503" s="606" t="s">
        <v>461</v>
      </c>
      <c r="O503" s="606"/>
    </row>
    <row r="504" spans="12:16" x14ac:dyDescent="0.3">
      <c r="L504" s="606" t="s">
        <v>1015</v>
      </c>
      <c r="M504" s="606" t="s">
        <v>461</v>
      </c>
      <c r="N504" s="606" t="s">
        <v>461</v>
      </c>
      <c r="O504" s="606"/>
    </row>
    <row r="505" spans="12:16" x14ac:dyDescent="0.3">
      <c r="L505" s="606" t="s">
        <v>1016</v>
      </c>
      <c r="M505" s="606" t="s">
        <v>461</v>
      </c>
      <c r="N505" s="606" t="s">
        <v>461</v>
      </c>
      <c r="O505" s="606"/>
    </row>
    <row r="506" spans="12:16" x14ac:dyDescent="0.3">
      <c r="L506" s="606" t="s">
        <v>552</v>
      </c>
      <c r="M506" s="606" t="s">
        <v>461</v>
      </c>
      <c r="N506" s="606" t="s">
        <v>461</v>
      </c>
      <c r="O506" s="606"/>
    </row>
    <row r="507" spans="12:16" x14ac:dyDescent="0.3">
      <c r="L507" s="606" t="s">
        <v>836</v>
      </c>
      <c r="M507" s="606" t="s">
        <v>461</v>
      </c>
      <c r="N507" s="606" t="s">
        <v>461</v>
      </c>
      <c r="O507" s="606"/>
    </row>
    <row r="508" spans="12:16" x14ac:dyDescent="0.3">
      <c r="L508" s="606" t="s">
        <v>1017</v>
      </c>
      <c r="M508" s="606" t="s">
        <v>461</v>
      </c>
      <c r="N508" s="606" t="s">
        <v>461</v>
      </c>
      <c r="O508" s="606"/>
    </row>
    <row r="509" spans="12:16" x14ac:dyDescent="0.3">
      <c r="L509" s="606" t="s">
        <v>1018</v>
      </c>
      <c r="M509" s="606" t="s">
        <v>461</v>
      </c>
      <c r="N509" s="606" t="s">
        <v>461</v>
      </c>
      <c r="O509" s="606"/>
    </row>
    <row r="510" spans="12:16" x14ac:dyDescent="0.3">
      <c r="L510" s="606" t="s">
        <v>1019</v>
      </c>
      <c r="M510" s="606" t="s">
        <v>461</v>
      </c>
      <c r="N510" s="606" t="s">
        <v>461</v>
      </c>
      <c r="O510" s="606"/>
    </row>
    <row r="511" spans="12:16" x14ac:dyDescent="0.3">
      <c r="L511" s="608" t="s">
        <v>397</v>
      </c>
      <c r="M511" s="608">
        <v>0.03</v>
      </c>
      <c r="N511" s="608">
        <v>0.05</v>
      </c>
      <c r="O511" s="606" t="s">
        <v>1455</v>
      </c>
      <c r="P511" s="615" t="s">
        <v>1451</v>
      </c>
    </row>
    <row r="512" spans="12:16" x14ac:dyDescent="0.3">
      <c r="L512" s="606" t="s">
        <v>1020</v>
      </c>
      <c r="M512" s="606" t="s">
        <v>461</v>
      </c>
      <c r="N512" s="606" t="s">
        <v>461</v>
      </c>
      <c r="O512" s="606"/>
    </row>
    <row r="513" spans="12:16" x14ac:dyDescent="0.3">
      <c r="L513" s="606" t="s">
        <v>1021</v>
      </c>
      <c r="M513" s="606" t="s">
        <v>461</v>
      </c>
      <c r="N513" s="606" t="s">
        <v>461</v>
      </c>
      <c r="O513" s="606"/>
    </row>
    <row r="514" spans="12:16" x14ac:dyDescent="0.3">
      <c r="L514" s="606" t="s">
        <v>1022</v>
      </c>
      <c r="M514" s="606" t="s">
        <v>461</v>
      </c>
      <c r="N514" s="606" t="s">
        <v>461</v>
      </c>
      <c r="O514" s="606"/>
    </row>
    <row r="515" spans="12:16" x14ac:dyDescent="0.3">
      <c r="L515" s="606" t="s">
        <v>1023</v>
      </c>
      <c r="M515" s="606" t="s">
        <v>461</v>
      </c>
      <c r="N515" s="606" t="s">
        <v>461</v>
      </c>
      <c r="O515" s="606"/>
    </row>
    <row r="516" spans="12:16" x14ac:dyDescent="0.3">
      <c r="L516" s="606" t="s">
        <v>837</v>
      </c>
      <c r="M516" s="606" t="s">
        <v>461</v>
      </c>
      <c r="N516" s="606" t="s">
        <v>461</v>
      </c>
      <c r="O516" s="606"/>
    </row>
    <row r="517" spans="12:16" x14ac:dyDescent="0.3">
      <c r="L517" s="606" t="s">
        <v>1024</v>
      </c>
      <c r="M517" s="606" t="s">
        <v>461</v>
      </c>
      <c r="N517" s="606" t="s">
        <v>461</v>
      </c>
      <c r="O517" s="606" t="s">
        <v>1546</v>
      </c>
    </row>
    <row r="518" spans="12:16" x14ac:dyDescent="0.3">
      <c r="L518" s="606" t="s">
        <v>838</v>
      </c>
      <c r="M518" s="606" t="s">
        <v>461</v>
      </c>
      <c r="N518" s="606" t="s">
        <v>461</v>
      </c>
      <c r="O518" s="606"/>
    </row>
    <row r="519" spans="12:16" x14ac:dyDescent="0.3">
      <c r="L519" s="606" t="s">
        <v>1025</v>
      </c>
      <c r="M519" s="606" t="s">
        <v>461</v>
      </c>
      <c r="N519" s="606" t="s">
        <v>461</v>
      </c>
      <c r="O519" s="606"/>
    </row>
    <row r="520" spans="12:16" x14ac:dyDescent="0.3">
      <c r="L520" s="608" t="s">
        <v>1026</v>
      </c>
      <c r="M520" s="608">
        <v>0.03</v>
      </c>
      <c r="N520" s="608">
        <v>0.05</v>
      </c>
      <c r="O520" s="606" t="s">
        <v>1455</v>
      </c>
      <c r="P520" s="615" t="s">
        <v>1451</v>
      </c>
    </row>
    <row r="521" spans="12:16" x14ac:dyDescent="0.3">
      <c r="L521" s="606" t="s">
        <v>1027</v>
      </c>
      <c r="M521" s="606" t="s">
        <v>461</v>
      </c>
      <c r="N521" s="606" t="s">
        <v>461</v>
      </c>
      <c r="O521" s="606"/>
    </row>
    <row r="522" spans="12:16" x14ac:dyDescent="0.3">
      <c r="L522" s="606" t="s">
        <v>1028</v>
      </c>
      <c r="M522" s="606" t="s">
        <v>461</v>
      </c>
      <c r="N522" s="606" t="s">
        <v>461</v>
      </c>
      <c r="O522" s="606"/>
    </row>
    <row r="523" spans="12:16" x14ac:dyDescent="0.3">
      <c r="L523" s="606" t="s">
        <v>1029</v>
      </c>
      <c r="M523" s="606" t="s">
        <v>461</v>
      </c>
      <c r="N523" s="606" t="s">
        <v>461</v>
      </c>
      <c r="O523" s="606"/>
    </row>
    <row r="524" spans="12:16" x14ac:dyDescent="0.3">
      <c r="L524" s="606" t="s">
        <v>1030</v>
      </c>
      <c r="M524" s="606" t="s">
        <v>461</v>
      </c>
      <c r="N524" s="606" t="s">
        <v>461</v>
      </c>
      <c r="O524" s="606" t="s">
        <v>1546</v>
      </c>
    </row>
    <row r="525" spans="12:16" x14ac:dyDescent="0.3">
      <c r="L525" s="606" t="s">
        <v>1031</v>
      </c>
      <c r="M525" s="606" t="s">
        <v>461</v>
      </c>
      <c r="N525" s="606" t="s">
        <v>461</v>
      </c>
      <c r="O525" s="606"/>
    </row>
    <row r="526" spans="12:16" x14ac:dyDescent="0.3">
      <c r="L526" s="606" t="s">
        <v>1032</v>
      </c>
      <c r="M526" s="606" t="s">
        <v>461</v>
      </c>
      <c r="N526" s="606" t="s">
        <v>461</v>
      </c>
      <c r="O526" s="606"/>
    </row>
    <row r="527" spans="12:16" x14ac:dyDescent="0.3">
      <c r="L527" s="606" t="s">
        <v>1033</v>
      </c>
      <c r="M527" s="606" t="s">
        <v>461</v>
      </c>
      <c r="N527" s="606" t="s">
        <v>461</v>
      </c>
      <c r="O527" s="606"/>
    </row>
    <row r="528" spans="12:16" x14ac:dyDescent="0.3">
      <c r="L528" s="606" t="s">
        <v>1034</v>
      </c>
      <c r="M528" s="606" t="s">
        <v>461</v>
      </c>
      <c r="N528" s="606" t="s">
        <v>461</v>
      </c>
      <c r="O528" s="606"/>
    </row>
    <row r="529" spans="12:16" x14ac:dyDescent="0.3">
      <c r="L529" s="606" t="s">
        <v>1035</v>
      </c>
      <c r="M529" s="606" t="s">
        <v>461</v>
      </c>
      <c r="N529" s="606" t="s">
        <v>461</v>
      </c>
      <c r="O529" s="606"/>
    </row>
    <row r="530" spans="12:16" x14ac:dyDescent="0.3">
      <c r="L530" s="606" t="s">
        <v>1036</v>
      </c>
      <c r="M530" s="606" t="s">
        <v>461</v>
      </c>
      <c r="N530" s="606" t="s">
        <v>461</v>
      </c>
      <c r="O530" s="606"/>
    </row>
    <row r="531" spans="12:16" x14ac:dyDescent="0.3">
      <c r="L531" s="606" t="s">
        <v>1037</v>
      </c>
      <c r="M531" s="606" t="s">
        <v>461</v>
      </c>
      <c r="N531" s="606" t="s">
        <v>461</v>
      </c>
      <c r="O531" s="606"/>
    </row>
    <row r="532" spans="12:16" x14ac:dyDescent="0.3">
      <c r="L532" s="606" t="s">
        <v>1038</v>
      </c>
      <c r="M532" s="606" t="s">
        <v>461</v>
      </c>
      <c r="N532" s="606" t="s">
        <v>461</v>
      </c>
      <c r="O532" s="606"/>
    </row>
    <row r="533" spans="12:16" x14ac:dyDescent="0.3">
      <c r="L533" s="606" t="s">
        <v>1039</v>
      </c>
      <c r="M533" s="606" t="s">
        <v>461</v>
      </c>
      <c r="N533" s="606" t="s">
        <v>461</v>
      </c>
      <c r="O533" s="606"/>
    </row>
    <row r="534" spans="12:16" x14ac:dyDescent="0.3">
      <c r="L534" s="606" t="s">
        <v>553</v>
      </c>
      <c r="M534" s="606" t="s">
        <v>461</v>
      </c>
      <c r="N534" s="606" t="s">
        <v>461</v>
      </c>
      <c r="O534" s="606"/>
    </row>
    <row r="535" spans="12:16" x14ac:dyDescent="0.3">
      <c r="L535" s="606" t="s">
        <v>839</v>
      </c>
      <c r="M535" s="606" t="s">
        <v>461</v>
      </c>
      <c r="N535" s="606" t="s">
        <v>461</v>
      </c>
      <c r="O535" s="606"/>
    </row>
    <row r="536" spans="12:16" x14ac:dyDescent="0.3">
      <c r="L536" s="606" t="s">
        <v>1040</v>
      </c>
      <c r="M536" s="606" t="s">
        <v>461</v>
      </c>
      <c r="N536" s="606" t="s">
        <v>461</v>
      </c>
      <c r="O536" s="606"/>
    </row>
    <row r="537" spans="12:16" x14ac:dyDescent="0.3">
      <c r="L537" s="606" t="s">
        <v>1041</v>
      </c>
      <c r="M537" s="606" t="s">
        <v>461</v>
      </c>
      <c r="N537" s="606" t="s">
        <v>461</v>
      </c>
      <c r="O537" s="606"/>
    </row>
    <row r="538" spans="12:16" x14ac:dyDescent="0.3">
      <c r="L538" s="606" t="s">
        <v>554</v>
      </c>
      <c r="M538" s="606" t="s">
        <v>461</v>
      </c>
      <c r="N538" s="606" t="s">
        <v>461</v>
      </c>
      <c r="O538" s="606"/>
    </row>
    <row r="539" spans="12:16" x14ac:dyDescent="0.3">
      <c r="L539" s="606" t="s">
        <v>1042</v>
      </c>
      <c r="M539" s="606" t="s">
        <v>461</v>
      </c>
      <c r="N539" s="606" t="s">
        <v>461</v>
      </c>
      <c r="O539" s="606"/>
    </row>
    <row r="540" spans="12:16" x14ac:dyDescent="0.3">
      <c r="L540" s="606" t="s">
        <v>398</v>
      </c>
      <c r="M540" s="606" t="s">
        <v>461</v>
      </c>
      <c r="N540" s="606" t="s">
        <v>461</v>
      </c>
      <c r="O540" s="606"/>
    </row>
    <row r="541" spans="12:16" x14ac:dyDescent="0.3">
      <c r="L541" s="608" t="s">
        <v>1043</v>
      </c>
      <c r="M541" s="608">
        <v>0.03</v>
      </c>
      <c r="N541" s="608">
        <v>0.05</v>
      </c>
      <c r="O541" s="606" t="s">
        <v>1455</v>
      </c>
      <c r="P541" s="615" t="s">
        <v>1451</v>
      </c>
    </row>
    <row r="542" spans="12:16" x14ac:dyDescent="0.3">
      <c r="L542" s="606" t="s">
        <v>1044</v>
      </c>
      <c r="M542" s="606" t="s">
        <v>461</v>
      </c>
      <c r="N542" s="606" t="s">
        <v>461</v>
      </c>
      <c r="O542" s="606"/>
    </row>
    <row r="543" spans="12:16" x14ac:dyDescent="0.3">
      <c r="L543" s="606" t="s">
        <v>1045</v>
      </c>
      <c r="M543" s="606" t="s">
        <v>461</v>
      </c>
      <c r="N543" s="606" t="s">
        <v>461</v>
      </c>
      <c r="O543" s="606" t="s">
        <v>1546</v>
      </c>
    </row>
    <row r="544" spans="12:16" x14ac:dyDescent="0.3">
      <c r="L544" s="606" t="s">
        <v>1046</v>
      </c>
      <c r="M544" s="606" t="s">
        <v>461</v>
      </c>
      <c r="N544" s="606" t="s">
        <v>461</v>
      </c>
      <c r="O544" s="606"/>
    </row>
    <row r="545" spans="12:15" x14ac:dyDescent="0.3">
      <c r="L545" s="606" t="s">
        <v>1047</v>
      </c>
      <c r="M545" s="606" t="s">
        <v>461</v>
      </c>
      <c r="N545" s="606" t="s">
        <v>461</v>
      </c>
      <c r="O545" s="606"/>
    </row>
    <row r="546" spans="12:15" x14ac:dyDescent="0.3">
      <c r="L546" s="606" t="s">
        <v>399</v>
      </c>
      <c r="M546" s="606" t="s">
        <v>461</v>
      </c>
      <c r="N546" s="606" t="s">
        <v>461</v>
      </c>
      <c r="O546" s="606"/>
    </row>
    <row r="547" spans="12:15" x14ac:dyDescent="0.3">
      <c r="L547" s="606" t="s">
        <v>1048</v>
      </c>
      <c r="M547" s="606" t="s">
        <v>461</v>
      </c>
      <c r="N547" s="606" t="s">
        <v>461</v>
      </c>
      <c r="O547" s="606" t="s">
        <v>1546</v>
      </c>
    </row>
    <row r="548" spans="12:15" x14ac:dyDescent="0.3">
      <c r="L548" s="606" t="s">
        <v>840</v>
      </c>
      <c r="M548" s="606" t="s">
        <v>461</v>
      </c>
      <c r="N548" s="606" t="s">
        <v>461</v>
      </c>
      <c r="O548" s="606"/>
    </row>
    <row r="549" spans="12:15" x14ac:dyDescent="0.3">
      <c r="L549" s="606" t="s">
        <v>1049</v>
      </c>
      <c r="M549" s="606" t="s">
        <v>461</v>
      </c>
      <c r="N549" s="606" t="s">
        <v>461</v>
      </c>
      <c r="O549" s="606"/>
    </row>
    <row r="550" spans="12:15" x14ac:dyDescent="0.3">
      <c r="L550" s="606" t="s">
        <v>1050</v>
      </c>
      <c r="M550" s="606" t="s">
        <v>461</v>
      </c>
      <c r="N550" s="606" t="s">
        <v>461</v>
      </c>
      <c r="O550" s="606"/>
    </row>
    <row r="551" spans="12:15" x14ac:dyDescent="0.3">
      <c r="L551" s="606" t="s">
        <v>1051</v>
      </c>
      <c r="M551" s="606" t="s">
        <v>461</v>
      </c>
      <c r="N551" s="606" t="s">
        <v>461</v>
      </c>
      <c r="O551" s="606"/>
    </row>
    <row r="552" spans="12:15" x14ac:dyDescent="0.3">
      <c r="L552" s="606" t="s">
        <v>1052</v>
      </c>
      <c r="M552" s="606" t="s">
        <v>461</v>
      </c>
      <c r="N552" s="606" t="s">
        <v>461</v>
      </c>
      <c r="O552" s="606"/>
    </row>
    <row r="553" spans="12:15" x14ac:dyDescent="0.3">
      <c r="L553" s="606" t="s">
        <v>841</v>
      </c>
      <c r="M553" s="606" t="s">
        <v>461</v>
      </c>
      <c r="N553" s="606" t="s">
        <v>461</v>
      </c>
      <c r="O553" s="606"/>
    </row>
    <row r="554" spans="12:15" x14ac:dyDescent="0.3">
      <c r="L554" s="606" t="s">
        <v>1053</v>
      </c>
      <c r="M554" s="606" t="s">
        <v>461</v>
      </c>
      <c r="N554" s="606" t="s">
        <v>461</v>
      </c>
      <c r="O554" s="606"/>
    </row>
    <row r="555" spans="12:15" x14ac:dyDescent="0.3">
      <c r="L555" s="606" t="s">
        <v>1054</v>
      </c>
      <c r="M555" s="606" t="s">
        <v>461</v>
      </c>
      <c r="N555" s="606" t="s">
        <v>461</v>
      </c>
      <c r="O555" s="606"/>
    </row>
  </sheetData>
  <sheetProtection algorithmName="SHA-512" hashValue="ofsMiR8Th1gQwbuOijYqdd5ZfA4fndSa2QIPDPXKId1uehkUKCrjJYzMyv2ZSUKNklQ/gxRG678tJ0+2QCYOsg==" saltValue="SVDvQeHcfnvzonz38OBGlg==" spinCount="100000" sheet="1" objects="1" scenarios="1"/>
  <mergeCells count="6">
    <mergeCell ref="E40:G51"/>
    <mergeCell ref="A4:C4"/>
    <mergeCell ref="E4:F4"/>
    <mergeCell ref="E30:G33"/>
    <mergeCell ref="E35:G37"/>
    <mergeCell ref="E39:G39"/>
  </mergeCells>
  <pageMargins left="0.7" right="0.7" top="0.75" bottom="0.75" header="0.3" footer="0.3"/>
  <pageSetup scale="51"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CC2CA-D998-42A4-801A-834A786678CE}">
  <dimension ref="A1:G91"/>
  <sheetViews>
    <sheetView workbookViewId="0">
      <selection activeCell="H55" sqref="H55"/>
    </sheetView>
  </sheetViews>
  <sheetFormatPr defaultRowHeight="14.4" x14ac:dyDescent="0.3"/>
  <cols>
    <col min="1" max="1" width="14.21875" customWidth="1"/>
    <col min="2" max="2" width="18.6640625" customWidth="1"/>
    <col min="3" max="3" width="19.21875" customWidth="1"/>
    <col min="4" max="4" width="32.88671875" customWidth="1"/>
    <col min="5" max="5" width="16.6640625" customWidth="1"/>
    <col min="6" max="6" width="19.6640625" customWidth="1"/>
    <col min="7" max="7" width="12.109375" customWidth="1"/>
  </cols>
  <sheetData>
    <row r="1" spans="1:7" x14ac:dyDescent="0.3">
      <c r="B1" t="s">
        <v>1429</v>
      </c>
      <c r="C1" t="s">
        <v>1429</v>
      </c>
    </row>
    <row r="2" spans="1:7" x14ac:dyDescent="0.3">
      <c r="B2" t="s">
        <v>1430</v>
      </c>
      <c r="C2" t="s">
        <v>1434</v>
      </c>
    </row>
    <row r="3" spans="1:7" x14ac:dyDescent="0.3">
      <c r="B3" t="s">
        <v>1431</v>
      </c>
      <c r="C3" t="s">
        <v>1433</v>
      </c>
    </row>
    <row r="4" spans="1:7" x14ac:dyDescent="0.3">
      <c r="A4" t="s">
        <v>1089</v>
      </c>
      <c r="B4">
        <v>0.03</v>
      </c>
      <c r="C4">
        <v>0.05</v>
      </c>
      <c r="D4" t="s">
        <v>1455</v>
      </c>
      <c r="E4" t="s">
        <v>1451</v>
      </c>
      <c r="F4" t="s">
        <v>1089</v>
      </c>
      <c r="G4">
        <v>0.08</v>
      </c>
    </row>
    <row r="5" spans="1:7" x14ac:dyDescent="0.3">
      <c r="A5" t="s">
        <v>801</v>
      </c>
      <c r="B5">
        <v>0.03</v>
      </c>
      <c r="C5">
        <v>0.05</v>
      </c>
      <c r="D5" t="s">
        <v>1455</v>
      </c>
      <c r="E5" t="s">
        <v>1451</v>
      </c>
      <c r="F5" t="s">
        <v>801</v>
      </c>
      <c r="G5" s="180">
        <v>0.08</v>
      </c>
    </row>
    <row r="6" spans="1:7" x14ac:dyDescent="0.3">
      <c r="A6" t="s">
        <v>476</v>
      </c>
      <c r="B6">
        <v>0.03</v>
      </c>
      <c r="C6">
        <v>0.05</v>
      </c>
      <c r="D6" t="s">
        <v>1455</v>
      </c>
      <c r="E6" t="s">
        <v>1451</v>
      </c>
      <c r="F6" t="s">
        <v>476</v>
      </c>
      <c r="G6" s="180">
        <v>0.08</v>
      </c>
    </row>
    <row r="7" spans="1:7" x14ac:dyDescent="0.3">
      <c r="A7" t="s">
        <v>1109</v>
      </c>
      <c r="B7">
        <v>0.03</v>
      </c>
      <c r="C7">
        <v>0.05</v>
      </c>
      <c r="D7" t="s">
        <v>1455</v>
      </c>
      <c r="E7" t="s">
        <v>1451</v>
      </c>
      <c r="F7" t="s">
        <v>1109</v>
      </c>
      <c r="G7" s="180">
        <v>0.08</v>
      </c>
    </row>
    <row r="8" spans="1:7" x14ac:dyDescent="0.3">
      <c r="A8" t="s">
        <v>1154</v>
      </c>
      <c r="B8">
        <v>0.03</v>
      </c>
      <c r="C8">
        <v>0.05</v>
      </c>
      <c r="D8" t="s">
        <v>1455</v>
      </c>
      <c r="E8" t="s">
        <v>1451</v>
      </c>
      <c r="F8" t="s">
        <v>1154</v>
      </c>
      <c r="G8" s="180">
        <v>0.08</v>
      </c>
    </row>
    <row r="9" spans="1:7" x14ac:dyDescent="0.3">
      <c r="A9" t="s">
        <v>1186</v>
      </c>
      <c r="B9">
        <v>0.03</v>
      </c>
      <c r="C9">
        <v>0.05</v>
      </c>
      <c r="D9" t="s">
        <v>1455</v>
      </c>
      <c r="E9" t="s">
        <v>1451</v>
      </c>
      <c r="F9" t="s">
        <v>1186</v>
      </c>
      <c r="G9" s="180">
        <v>0.08</v>
      </c>
    </row>
    <row r="10" spans="1:7" x14ac:dyDescent="0.3">
      <c r="A10" t="s">
        <v>812</v>
      </c>
      <c r="B10">
        <v>0.03</v>
      </c>
      <c r="C10">
        <v>0.05</v>
      </c>
      <c r="D10" t="s">
        <v>1455</v>
      </c>
      <c r="E10" t="s">
        <v>1451</v>
      </c>
      <c r="F10" t="s">
        <v>812</v>
      </c>
      <c r="G10" s="180">
        <v>0.08</v>
      </c>
    </row>
    <row r="11" spans="1:7" x14ac:dyDescent="0.3">
      <c r="A11" t="s">
        <v>1199</v>
      </c>
      <c r="B11">
        <v>0.03</v>
      </c>
      <c r="C11">
        <v>0.05</v>
      </c>
      <c r="D11" t="s">
        <v>1455</v>
      </c>
      <c r="E11" t="s">
        <v>1451</v>
      </c>
      <c r="F11" t="s">
        <v>1199</v>
      </c>
      <c r="G11" s="180">
        <v>0.08</v>
      </c>
    </row>
    <row r="12" spans="1:7" x14ac:dyDescent="0.3">
      <c r="A12" t="s">
        <v>504</v>
      </c>
      <c r="B12">
        <v>0.03</v>
      </c>
      <c r="C12">
        <v>0.05</v>
      </c>
      <c r="D12" t="s">
        <v>1455</v>
      </c>
      <c r="E12" t="s">
        <v>1451</v>
      </c>
      <c r="F12" t="s">
        <v>504</v>
      </c>
      <c r="G12" s="180">
        <v>0.08</v>
      </c>
    </row>
    <row r="13" spans="1:7" x14ac:dyDescent="0.3">
      <c r="A13" t="s">
        <v>395</v>
      </c>
      <c r="B13">
        <v>0.03</v>
      </c>
      <c r="C13">
        <v>0.05</v>
      </c>
      <c r="D13" t="s">
        <v>1455</v>
      </c>
      <c r="E13" t="s">
        <v>1451</v>
      </c>
      <c r="F13" t="s">
        <v>395</v>
      </c>
      <c r="G13" s="180">
        <v>0.08</v>
      </c>
    </row>
    <row r="14" spans="1:7" x14ac:dyDescent="0.3">
      <c r="A14" t="s">
        <v>510</v>
      </c>
      <c r="B14">
        <v>0.03</v>
      </c>
      <c r="C14">
        <v>0.05</v>
      </c>
      <c r="D14" t="s">
        <v>1455</v>
      </c>
      <c r="E14" t="s">
        <v>1451</v>
      </c>
      <c r="F14" t="s">
        <v>510</v>
      </c>
      <c r="G14" s="180">
        <v>0.08</v>
      </c>
    </row>
    <row r="15" spans="1:7" x14ac:dyDescent="0.3">
      <c r="A15" t="s">
        <v>819</v>
      </c>
      <c r="B15">
        <v>0.03</v>
      </c>
      <c r="C15">
        <v>0.05</v>
      </c>
      <c r="D15" t="s">
        <v>1455</v>
      </c>
      <c r="E15" t="s">
        <v>1451</v>
      </c>
      <c r="F15" t="s">
        <v>819</v>
      </c>
      <c r="G15" s="180">
        <v>0.08</v>
      </c>
    </row>
    <row r="16" spans="1:7" x14ac:dyDescent="0.3">
      <c r="A16" t="s">
        <v>1238</v>
      </c>
      <c r="B16">
        <v>0.03</v>
      </c>
      <c r="C16">
        <v>0.05</v>
      </c>
      <c r="D16" t="s">
        <v>1455</v>
      </c>
      <c r="E16" t="s">
        <v>1451</v>
      </c>
      <c r="F16" t="s">
        <v>1238</v>
      </c>
      <c r="G16" s="180">
        <v>0.08</v>
      </c>
    </row>
    <row r="17" spans="1:7" x14ac:dyDescent="0.3">
      <c r="A17" t="s">
        <v>514</v>
      </c>
      <c r="B17">
        <v>0.03</v>
      </c>
      <c r="C17">
        <v>0.05</v>
      </c>
      <c r="D17" t="s">
        <v>1455</v>
      </c>
      <c r="E17" t="s">
        <v>1451</v>
      </c>
      <c r="F17" t="s">
        <v>514</v>
      </c>
      <c r="G17" s="180">
        <v>0.08</v>
      </c>
    </row>
    <row r="18" spans="1:7" x14ac:dyDescent="0.3">
      <c r="A18" t="s">
        <v>1258</v>
      </c>
      <c r="B18">
        <v>0.03</v>
      </c>
      <c r="C18">
        <v>0.05</v>
      </c>
      <c r="D18" t="s">
        <v>1455</v>
      </c>
      <c r="E18" t="s">
        <v>1451</v>
      </c>
      <c r="F18" t="s">
        <v>1258</v>
      </c>
      <c r="G18" s="180">
        <v>0.08</v>
      </c>
    </row>
    <row r="19" spans="1:7" x14ac:dyDescent="0.3">
      <c r="A19" t="s">
        <v>1263</v>
      </c>
      <c r="B19">
        <v>0.03</v>
      </c>
      <c r="C19">
        <v>0.05</v>
      </c>
      <c r="D19" t="s">
        <v>1455</v>
      </c>
      <c r="E19" t="s">
        <v>1451</v>
      </c>
      <c r="F19" t="s">
        <v>1263</v>
      </c>
      <c r="G19" s="180">
        <v>0.08</v>
      </c>
    </row>
    <row r="20" spans="1:7" x14ac:dyDescent="0.3">
      <c r="A20" t="s">
        <v>1273</v>
      </c>
      <c r="B20">
        <v>0.03</v>
      </c>
      <c r="C20">
        <v>0.05</v>
      </c>
      <c r="D20" t="s">
        <v>1455</v>
      </c>
      <c r="E20" t="s">
        <v>1451</v>
      </c>
      <c r="F20" t="s">
        <v>1273</v>
      </c>
      <c r="G20" s="180">
        <v>0.08</v>
      </c>
    </row>
    <row r="21" spans="1:7" x14ac:dyDescent="0.3">
      <c r="A21" t="s">
        <v>1289</v>
      </c>
      <c r="B21">
        <v>0.03</v>
      </c>
      <c r="C21">
        <v>0.05</v>
      </c>
      <c r="D21" t="s">
        <v>1455</v>
      </c>
      <c r="E21" t="s">
        <v>1451</v>
      </c>
      <c r="F21" t="s">
        <v>1289</v>
      </c>
      <c r="G21" s="180">
        <v>0.08</v>
      </c>
    </row>
    <row r="22" spans="1:7" x14ac:dyDescent="0.3">
      <c r="A22" t="s">
        <v>438</v>
      </c>
      <c r="B22">
        <v>0.03</v>
      </c>
      <c r="C22">
        <v>0.05</v>
      </c>
      <c r="D22" t="s">
        <v>1455</v>
      </c>
      <c r="E22" t="s">
        <v>1451</v>
      </c>
      <c r="F22" t="s">
        <v>438</v>
      </c>
      <c r="G22" s="180">
        <v>0.08</v>
      </c>
    </row>
    <row r="23" spans="1:7" x14ac:dyDescent="0.3">
      <c r="A23" t="s">
        <v>1333</v>
      </c>
      <c r="B23">
        <v>0.03</v>
      </c>
      <c r="C23">
        <v>0.05</v>
      </c>
      <c r="D23" t="s">
        <v>1455</v>
      </c>
      <c r="E23" t="s">
        <v>1451</v>
      </c>
      <c r="F23" t="s">
        <v>1333</v>
      </c>
      <c r="G23" s="180">
        <v>0.08</v>
      </c>
    </row>
    <row r="24" spans="1:7" x14ac:dyDescent="0.3">
      <c r="A24" t="s">
        <v>528</v>
      </c>
      <c r="B24">
        <v>0.03</v>
      </c>
      <c r="C24">
        <v>0.05</v>
      </c>
      <c r="D24" t="s">
        <v>1455</v>
      </c>
      <c r="E24" t="s">
        <v>1451</v>
      </c>
      <c r="F24" t="s">
        <v>528</v>
      </c>
      <c r="G24" s="180">
        <v>0.08</v>
      </c>
    </row>
    <row r="25" spans="1:7" x14ac:dyDescent="0.3">
      <c r="A25" t="s">
        <v>536</v>
      </c>
      <c r="B25">
        <v>0.03</v>
      </c>
      <c r="C25">
        <v>0.05</v>
      </c>
      <c r="D25" t="s">
        <v>1455</v>
      </c>
      <c r="E25" t="s">
        <v>1451</v>
      </c>
      <c r="F25" t="s">
        <v>536</v>
      </c>
      <c r="G25" s="180">
        <v>0.08</v>
      </c>
    </row>
    <row r="26" spans="1:7" x14ac:dyDescent="0.3">
      <c r="A26" t="s">
        <v>539</v>
      </c>
      <c r="B26">
        <v>0.03</v>
      </c>
      <c r="C26">
        <v>0.05</v>
      </c>
      <c r="D26" t="s">
        <v>1455</v>
      </c>
      <c r="E26" t="s">
        <v>1451</v>
      </c>
      <c r="F26" t="s">
        <v>539</v>
      </c>
      <c r="G26" s="180">
        <v>0.08</v>
      </c>
    </row>
    <row r="27" spans="1:7" x14ac:dyDescent="0.3">
      <c r="A27" t="s">
        <v>1382</v>
      </c>
      <c r="B27">
        <v>0.03</v>
      </c>
      <c r="C27">
        <v>0.05</v>
      </c>
      <c r="D27" t="s">
        <v>1455</v>
      </c>
      <c r="E27" t="s">
        <v>1451</v>
      </c>
      <c r="F27" t="s">
        <v>1382</v>
      </c>
      <c r="G27" s="180">
        <v>0.08</v>
      </c>
    </row>
    <row r="28" spans="1:7" x14ac:dyDescent="0.3">
      <c r="A28" t="s">
        <v>542</v>
      </c>
      <c r="B28">
        <v>0.03</v>
      </c>
      <c r="C28">
        <v>0.05</v>
      </c>
      <c r="D28" t="s">
        <v>1455</v>
      </c>
      <c r="E28" t="s">
        <v>1451</v>
      </c>
      <c r="F28" t="s">
        <v>542</v>
      </c>
      <c r="G28" s="180">
        <v>0.08</v>
      </c>
    </row>
    <row r="29" spans="1:7" x14ac:dyDescent="0.3">
      <c r="A29" t="s">
        <v>1400</v>
      </c>
      <c r="B29">
        <v>0.03</v>
      </c>
      <c r="C29">
        <v>0.05</v>
      </c>
      <c r="D29" t="s">
        <v>1455</v>
      </c>
      <c r="E29" t="s">
        <v>1451</v>
      </c>
      <c r="F29" t="s">
        <v>1400</v>
      </c>
      <c r="G29" s="180">
        <v>0.08</v>
      </c>
    </row>
    <row r="30" spans="1:7" x14ac:dyDescent="0.3">
      <c r="A30" t="s">
        <v>1408</v>
      </c>
      <c r="B30">
        <v>0.03</v>
      </c>
      <c r="C30">
        <v>0.05</v>
      </c>
      <c r="D30" t="s">
        <v>1455</v>
      </c>
      <c r="E30" t="s">
        <v>1451</v>
      </c>
      <c r="F30" t="s">
        <v>1408</v>
      </c>
      <c r="G30" s="180">
        <v>0.08</v>
      </c>
    </row>
    <row r="31" spans="1:7" x14ac:dyDescent="0.3">
      <c r="A31" t="s">
        <v>1411</v>
      </c>
      <c r="B31">
        <v>0.03</v>
      </c>
      <c r="C31">
        <v>0.05</v>
      </c>
      <c r="D31" t="s">
        <v>1455</v>
      </c>
      <c r="E31" t="s">
        <v>1451</v>
      </c>
      <c r="F31" t="s">
        <v>1411</v>
      </c>
      <c r="G31" s="180">
        <v>0.08</v>
      </c>
    </row>
    <row r="32" spans="1:7" x14ac:dyDescent="0.3">
      <c r="A32" t="s">
        <v>1003</v>
      </c>
      <c r="B32">
        <v>0.03</v>
      </c>
      <c r="C32">
        <v>0.05</v>
      </c>
      <c r="D32" t="s">
        <v>1455</v>
      </c>
      <c r="E32" t="s">
        <v>1451</v>
      </c>
      <c r="F32" t="s">
        <v>1003</v>
      </c>
      <c r="G32" s="180">
        <v>0.08</v>
      </c>
    </row>
    <row r="33" spans="1:7" x14ac:dyDescent="0.3">
      <c r="A33" t="s">
        <v>397</v>
      </c>
      <c r="B33">
        <v>0.03</v>
      </c>
      <c r="C33">
        <v>0.05</v>
      </c>
      <c r="D33" t="s">
        <v>1455</v>
      </c>
      <c r="E33" t="s">
        <v>1451</v>
      </c>
      <c r="F33" t="s">
        <v>397</v>
      </c>
      <c r="G33" s="180">
        <v>0.08</v>
      </c>
    </row>
    <row r="34" spans="1:7" x14ac:dyDescent="0.3">
      <c r="A34" t="s">
        <v>1026</v>
      </c>
      <c r="B34">
        <v>0.03</v>
      </c>
      <c r="C34">
        <v>0.05</v>
      </c>
      <c r="D34" t="s">
        <v>1455</v>
      </c>
      <c r="E34" t="s">
        <v>1451</v>
      </c>
      <c r="F34" t="s">
        <v>1026</v>
      </c>
      <c r="G34" s="180">
        <v>0.08</v>
      </c>
    </row>
    <row r="35" spans="1:7" x14ac:dyDescent="0.3">
      <c r="A35" t="s">
        <v>1043</v>
      </c>
      <c r="B35">
        <v>0.03</v>
      </c>
      <c r="C35">
        <v>0.05</v>
      </c>
      <c r="D35" t="s">
        <v>1455</v>
      </c>
      <c r="E35" t="s">
        <v>1451</v>
      </c>
      <c r="F35" s="558" t="s">
        <v>1043</v>
      </c>
      <c r="G35" s="180">
        <v>0.08</v>
      </c>
    </row>
    <row r="36" spans="1:7" x14ac:dyDescent="0.3">
      <c r="A36" t="s">
        <v>1084</v>
      </c>
      <c r="B36" t="s">
        <v>461</v>
      </c>
      <c r="C36">
        <v>0.05</v>
      </c>
      <c r="D36" t="s">
        <v>1450</v>
      </c>
      <c r="F36" t="s">
        <v>1084</v>
      </c>
      <c r="G36">
        <v>7.0000000000000007E-2</v>
      </c>
    </row>
    <row r="37" spans="1:7" x14ac:dyDescent="0.3">
      <c r="A37" t="s">
        <v>1124</v>
      </c>
      <c r="B37">
        <v>0.15</v>
      </c>
      <c r="C37" t="s">
        <v>461</v>
      </c>
      <c r="D37" t="s">
        <v>1450</v>
      </c>
      <c r="F37" t="s">
        <v>1124</v>
      </c>
      <c r="G37" s="180">
        <v>7.0000000000000007E-2</v>
      </c>
    </row>
    <row r="38" spans="1:7" x14ac:dyDescent="0.3">
      <c r="A38" t="s">
        <v>1151</v>
      </c>
      <c r="B38">
        <v>0.05</v>
      </c>
      <c r="C38" t="s">
        <v>461</v>
      </c>
      <c r="D38" t="s">
        <v>1450</v>
      </c>
      <c r="F38" t="s">
        <v>1151</v>
      </c>
      <c r="G38" s="180">
        <v>7.0000000000000007E-2</v>
      </c>
    </row>
    <row r="39" spans="1:7" x14ac:dyDescent="0.3">
      <c r="A39" t="s">
        <v>1167</v>
      </c>
      <c r="B39">
        <v>0.03</v>
      </c>
      <c r="C39" t="s">
        <v>461</v>
      </c>
      <c r="D39" t="s">
        <v>1450</v>
      </c>
      <c r="F39" t="s">
        <v>1167</v>
      </c>
      <c r="G39" s="180">
        <v>7.0000000000000007E-2</v>
      </c>
    </row>
    <row r="40" spans="1:7" x14ac:dyDescent="0.3">
      <c r="A40" t="s">
        <v>1178</v>
      </c>
      <c r="B40">
        <v>0.03</v>
      </c>
      <c r="C40" t="s">
        <v>461</v>
      </c>
      <c r="D40" t="s">
        <v>1450</v>
      </c>
      <c r="F40" t="s">
        <v>1178</v>
      </c>
      <c r="G40" s="180">
        <v>7.0000000000000007E-2</v>
      </c>
    </row>
    <row r="41" spans="1:7" x14ac:dyDescent="0.3">
      <c r="A41" t="s">
        <v>1214</v>
      </c>
      <c r="B41">
        <v>0.03</v>
      </c>
      <c r="C41" t="s">
        <v>461</v>
      </c>
      <c r="D41" t="s">
        <v>1450</v>
      </c>
      <c r="F41" t="s">
        <v>1214</v>
      </c>
      <c r="G41" s="180">
        <v>7.0000000000000007E-2</v>
      </c>
    </row>
    <row r="42" spans="1:7" x14ac:dyDescent="0.3">
      <c r="A42" t="s">
        <v>1220</v>
      </c>
      <c r="B42">
        <v>0.03</v>
      </c>
      <c r="C42" t="s">
        <v>461</v>
      </c>
      <c r="D42" t="s">
        <v>1450</v>
      </c>
      <c r="F42" t="s">
        <v>1220</v>
      </c>
      <c r="G42" s="180">
        <v>7.0000000000000007E-2</v>
      </c>
    </row>
    <row r="43" spans="1:7" x14ac:dyDescent="0.3">
      <c r="A43" t="s">
        <v>396</v>
      </c>
      <c r="B43" t="s">
        <v>461</v>
      </c>
      <c r="C43" t="s">
        <v>461</v>
      </c>
      <c r="D43" t="s">
        <v>1450</v>
      </c>
      <c r="F43" t="s">
        <v>396</v>
      </c>
      <c r="G43" s="180">
        <v>7.0000000000000007E-2</v>
      </c>
    </row>
    <row r="44" spans="1:7" x14ac:dyDescent="0.3">
      <c r="A44" t="s">
        <v>1243</v>
      </c>
      <c r="B44" t="s">
        <v>461</v>
      </c>
      <c r="C44" t="s">
        <v>461</v>
      </c>
      <c r="D44" t="s">
        <v>1450</v>
      </c>
      <c r="F44" t="s">
        <v>1243</v>
      </c>
      <c r="G44" s="180">
        <v>7.0000000000000007E-2</v>
      </c>
    </row>
    <row r="45" spans="1:7" x14ac:dyDescent="0.3">
      <c r="A45" t="s">
        <v>1268</v>
      </c>
      <c r="B45" t="s">
        <v>461</v>
      </c>
      <c r="C45" t="s">
        <v>461</v>
      </c>
      <c r="D45" t="s">
        <v>1450</v>
      </c>
      <c r="F45" t="s">
        <v>1268</v>
      </c>
      <c r="G45" s="180">
        <v>7.0000000000000007E-2</v>
      </c>
    </row>
    <row r="46" spans="1:7" x14ac:dyDescent="0.3">
      <c r="A46" t="s">
        <v>1280</v>
      </c>
      <c r="B46">
        <v>0.03</v>
      </c>
      <c r="C46">
        <v>0.03</v>
      </c>
      <c r="D46" t="s">
        <v>1450</v>
      </c>
      <c r="F46" t="s">
        <v>1280</v>
      </c>
      <c r="G46" s="180">
        <v>7.0000000000000007E-2</v>
      </c>
    </row>
    <row r="47" spans="1:7" x14ac:dyDescent="0.3">
      <c r="A47" t="s">
        <v>1284</v>
      </c>
      <c r="B47" t="s">
        <v>461</v>
      </c>
      <c r="C47" t="s">
        <v>461</v>
      </c>
      <c r="D47" t="s">
        <v>1450</v>
      </c>
      <c r="F47" t="s">
        <v>1284</v>
      </c>
      <c r="G47" s="180">
        <v>7.0000000000000007E-2</v>
      </c>
    </row>
    <row r="48" spans="1:7" x14ac:dyDescent="0.3">
      <c r="A48" t="s">
        <v>1294</v>
      </c>
      <c r="B48">
        <v>0.03</v>
      </c>
      <c r="C48" t="s">
        <v>461</v>
      </c>
      <c r="D48" t="s">
        <v>1450</v>
      </c>
      <c r="F48" t="s">
        <v>1294</v>
      </c>
      <c r="G48" s="180">
        <v>7.0000000000000007E-2</v>
      </c>
    </row>
    <row r="49" spans="1:7" x14ac:dyDescent="0.3">
      <c r="A49" t="s">
        <v>1319</v>
      </c>
      <c r="B49">
        <v>0.01</v>
      </c>
      <c r="C49" t="s">
        <v>461</v>
      </c>
      <c r="D49" t="s">
        <v>1450</v>
      </c>
      <c r="F49" t="s">
        <v>1319</v>
      </c>
      <c r="G49" s="180">
        <v>7.0000000000000007E-2</v>
      </c>
    </row>
    <row r="50" spans="1:7" x14ac:dyDescent="0.3">
      <c r="A50" t="s">
        <v>1323</v>
      </c>
      <c r="B50" t="s">
        <v>461</v>
      </c>
      <c r="C50" t="s">
        <v>461</v>
      </c>
      <c r="D50" t="s">
        <v>1450</v>
      </c>
      <c r="F50" t="s">
        <v>1323</v>
      </c>
      <c r="G50" s="180">
        <v>7.0000000000000007E-2</v>
      </c>
    </row>
    <row r="51" spans="1:7" x14ac:dyDescent="0.3">
      <c r="A51" t="s">
        <v>1336</v>
      </c>
      <c r="B51" t="s">
        <v>461</v>
      </c>
      <c r="C51" t="s">
        <v>461</v>
      </c>
      <c r="D51" t="s">
        <v>1450</v>
      </c>
      <c r="F51" t="s">
        <v>1336</v>
      </c>
      <c r="G51" s="180">
        <v>7.0000000000000007E-2</v>
      </c>
    </row>
    <row r="52" spans="1:7" x14ac:dyDescent="0.3">
      <c r="A52" t="s">
        <v>1361</v>
      </c>
      <c r="B52" t="s">
        <v>461</v>
      </c>
      <c r="C52" t="s">
        <v>461</v>
      </c>
      <c r="D52" t="s">
        <v>1450</v>
      </c>
      <c r="F52" t="s">
        <v>1361</v>
      </c>
      <c r="G52" s="180">
        <v>7.0000000000000007E-2</v>
      </c>
    </row>
    <row r="53" spans="1:7" x14ac:dyDescent="0.3">
      <c r="A53" t="s">
        <v>1405</v>
      </c>
      <c r="B53">
        <v>0.03</v>
      </c>
      <c r="C53" t="s">
        <v>461</v>
      </c>
      <c r="D53" t="s">
        <v>1450</v>
      </c>
      <c r="F53" t="s">
        <v>1405</v>
      </c>
      <c r="G53" s="180">
        <v>7.0000000000000007E-2</v>
      </c>
    </row>
    <row r="54" spans="1:7" x14ac:dyDescent="0.3">
      <c r="A54" t="s">
        <v>989</v>
      </c>
      <c r="B54" t="s">
        <v>461</v>
      </c>
      <c r="C54" t="s">
        <v>461</v>
      </c>
      <c r="D54" t="s">
        <v>1450</v>
      </c>
      <c r="F54" s="558" t="s">
        <v>989</v>
      </c>
      <c r="G54" s="180">
        <v>7.0000000000000007E-2</v>
      </c>
    </row>
    <row r="55" spans="1:7" x14ac:dyDescent="0.3">
      <c r="A55" t="s">
        <v>480</v>
      </c>
      <c r="B55" t="s">
        <v>461</v>
      </c>
      <c r="C55" t="s">
        <v>461</v>
      </c>
      <c r="D55" t="s">
        <v>1546</v>
      </c>
      <c r="F55" t="s">
        <v>480</v>
      </c>
      <c r="G55">
        <v>0.09</v>
      </c>
    </row>
    <row r="56" spans="1:7" x14ac:dyDescent="0.3">
      <c r="A56" t="s">
        <v>1162</v>
      </c>
      <c r="B56" t="s">
        <v>461</v>
      </c>
      <c r="C56" t="s">
        <v>461</v>
      </c>
      <c r="D56" t="s">
        <v>1546</v>
      </c>
      <c r="F56" t="s">
        <v>1162</v>
      </c>
      <c r="G56" s="180">
        <v>0.09</v>
      </c>
    </row>
    <row r="57" spans="1:7" x14ac:dyDescent="0.3">
      <c r="A57" t="s">
        <v>811</v>
      </c>
      <c r="B57" t="s">
        <v>461</v>
      </c>
      <c r="C57" t="s">
        <v>461</v>
      </c>
      <c r="D57" t="s">
        <v>1546</v>
      </c>
      <c r="F57" t="s">
        <v>811</v>
      </c>
      <c r="G57" s="180">
        <v>0.09</v>
      </c>
    </row>
    <row r="58" spans="1:7" x14ac:dyDescent="0.3">
      <c r="A58" t="s">
        <v>497</v>
      </c>
      <c r="B58" t="s">
        <v>461</v>
      </c>
      <c r="C58" t="s">
        <v>461</v>
      </c>
      <c r="D58" t="s">
        <v>1546</v>
      </c>
      <c r="F58" t="s">
        <v>497</v>
      </c>
      <c r="G58" s="180">
        <v>0.09</v>
      </c>
    </row>
    <row r="59" spans="1:7" x14ac:dyDescent="0.3">
      <c r="A59" t="s">
        <v>1200</v>
      </c>
      <c r="B59" t="s">
        <v>461</v>
      </c>
      <c r="C59" t="s">
        <v>461</v>
      </c>
      <c r="D59" t="s">
        <v>1546</v>
      </c>
      <c r="F59" t="s">
        <v>1200</v>
      </c>
      <c r="G59" s="180">
        <v>0.09</v>
      </c>
    </row>
    <row r="60" spans="1:7" x14ac:dyDescent="0.3">
      <c r="A60" t="s">
        <v>1203</v>
      </c>
      <c r="B60" t="s">
        <v>461</v>
      </c>
      <c r="C60" t="s">
        <v>461</v>
      </c>
      <c r="D60" t="s">
        <v>1546</v>
      </c>
      <c r="F60" t="s">
        <v>1203</v>
      </c>
      <c r="G60" s="180">
        <v>0.09</v>
      </c>
    </row>
    <row r="61" spans="1:7" x14ac:dyDescent="0.3">
      <c r="A61" t="s">
        <v>1205</v>
      </c>
      <c r="B61" t="s">
        <v>461</v>
      </c>
      <c r="C61" t="s">
        <v>461</v>
      </c>
      <c r="D61" t="s">
        <v>1546</v>
      </c>
      <c r="F61" t="s">
        <v>1205</v>
      </c>
      <c r="G61" s="180">
        <v>0.09</v>
      </c>
    </row>
    <row r="62" spans="1:7" x14ac:dyDescent="0.3">
      <c r="A62" t="s">
        <v>1235</v>
      </c>
      <c r="B62" t="s">
        <v>461</v>
      </c>
      <c r="C62" t="s">
        <v>461</v>
      </c>
      <c r="D62" t="s">
        <v>1546</v>
      </c>
      <c r="F62" t="s">
        <v>1235</v>
      </c>
      <c r="G62" s="180">
        <v>0.09</v>
      </c>
    </row>
    <row r="63" spans="1:7" x14ac:dyDescent="0.3">
      <c r="A63" t="s">
        <v>1257</v>
      </c>
      <c r="B63" t="s">
        <v>461</v>
      </c>
      <c r="C63" t="s">
        <v>461</v>
      </c>
      <c r="D63" t="s">
        <v>1546</v>
      </c>
      <c r="F63" t="s">
        <v>1257</v>
      </c>
      <c r="G63" s="180">
        <v>0.09</v>
      </c>
    </row>
    <row r="64" spans="1:7" x14ac:dyDescent="0.3">
      <c r="A64" s="566" t="s">
        <v>437</v>
      </c>
      <c r="B64" s="558" t="s">
        <v>461</v>
      </c>
      <c r="C64" s="558" t="s">
        <v>461</v>
      </c>
      <c r="D64" s="558" t="s">
        <v>1546</v>
      </c>
      <c r="E64" s="558"/>
      <c r="F64" s="558" t="s">
        <v>437</v>
      </c>
      <c r="G64" s="180">
        <v>0.09</v>
      </c>
    </row>
    <row r="65" spans="1:7" x14ac:dyDescent="0.3">
      <c r="A65" t="s">
        <v>439</v>
      </c>
      <c r="B65" t="s">
        <v>461</v>
      </c>
      <c r="C65" t="s">
        <v>461</v>
      </c>
      <c r="D65" t="s">
        <v>1546</v>
      </c>
      <c r="F65" t="s">
        <v>439</v>
      </c>
      <c r="G65" s="180">
        <v>0.09</v>
      </c>
    </row>
    <row r="66" spans="1:7" x14ac:dyDescent="0.3">
      <c r="A66" t="s">
        <v>526</v>
      </c>
      <c r="B66" t="s">
        <v>461</v>
      </c>
      <c r="C66" t="s">
        <v>461</v>
      </c>
      <c r="D66" t="s">
        <v>1546</v>
      </c>
      <c r="F66" t="s">
        <v>526</v>
      </c>
      <c r="G66" s="180">
        <v>0.09</v>
      </c>
    </row>
    <row r="67" spans="1:7" x14ac:dyDescent="0.3">
      <c r="A67" t="s">
        <v>1360</v>
      </c>
      <c r="B67" t="s">
        <v>461</v>
      </c>
      <c r="C67" t="s">
        <v>461</v>
      </c>
      <c r="D67" t="s">
        <v>1546</v>
      </c>
      <c r="F67" t="s">
        <v>1360</v>
      </c>
      <c r="G67" s="180">
        <v>0.09</v>
      </c>
    </row>
    <row r="68" spans="1:7" x14ac:dyDescent="0.3">
      <c r="A68" t="s">
        <v>544</v>
      </c>
      <c r="B68" t="s">
        <v>461</v>
      </c>
      <c r="C68" t="s">
        <v>461</v>
      </c>
      <c r="D68" t="s">
        <v>1546</v>
      </c>
      <c r="F68" t="s">
        <v>544</v>
      </c>
      <c r="G68" s="180">
        <v>0.09</v>
      </c>
    </row>
    <row r="69" spans="1:7" s="180" customFormat="1" x14ac:dyDescent="0.3">
      <c r="A69" s="566" t="s">
        <v>987</v>
      </c>
      <c r="B69" t="s">
        <v>461</v>
      </c>
      <c r="C69" t="s">
        <v>461</v>
      </c>
      <c r="D69" s="180" t="s">
        <v>1546</v>
      </c>
      <c r="F69" t="s">
        <v>987</v>
      </c>
      <c r="G69" s="180">
        <v>0.09</v>
      </c>
    </row>
    <row r="70" spans="1:7" x14ac:dyDescent="0.3">
      <c r="A70" t="s">
        <v>1024</v>
      </c>
      <c r="B70" t="s">
        <v>461</v>
      </c>
      <c r="C70" t="s">
        <v>461</v>
      </c>
      <c r="D70" t="s">
        <v>1546</v>
      </c>
      <c r="F70" t="s">
        <v>1024</v>
      </c>
      <c r="G70" s="180">
        <v>0.09</v>
      </c>
    </row>
    <row r="71" spans="1:7" x14ac:dyDescent="0.3">
      <c r="A71" t="s">
        <v>1030</v>
      </c>
      <c r="B71" t="s">
        <v>461</v>
      </c>
      <c r="C71" t="s">
        <v>461</v>
      </c>
      <c r="D71" t="s">
        <v>1546</v>
      </c>
      <c r="F71" t="s">
        <v>1030</v>
      </c>
      <c r="G71" s="180">
        <v>0.09</v>
      </c>
    </row>
    <row r="72" spans="1:7" x14ac:dyDescent="0.3">
      <c r="A72" t="s">
        <v>1045</v>
      </c>
      <c r="B72" t="s">
        <v>461</v>
      </c>
      <c r="C72" t="s">
        <v>461</v>
      </c>
      <c r="D72" t="s">
        <v>1546</v>
      </c>
      <c r="F72" t="s">
        <v>1045</v>
      </c>
      <c r="G72" s="180">
        <v>0.09</v>
      </c>
    </row>
    <row r="73" spans="1:7" x14ac:dyDescent="0.3">
      <c r="A73" t="s">
        <v>1048</v>
      </c>
      <c r="B73" t="s">
        <v>461</v>
      </c>
      <c r="C73" t="s">
        <v>461</v>
      </c>
      <c r="D73" t="s">
        <v>1546</v>
      </c>
      <c r="F73" t="s">
        <v>1048</v>
      </c>
      <c r="G73" s="180">
        <v>0.09</v>
      </c>
    </row>
    <row r="89" spans="6:6" x14ac:dyDescent="0.3">
      <c r="F89" t="s">
        <v>349</v>
      </c>
    </row>
    <row r="90" spans="6:6" x14ac:dyDescent="0.3">
      <c r="F90" t="s">
        <v>349</v>
      </c>
    </row>
    <row r="91" spans="6:6" x14ac:dyDescent="0.3">
      <c r="F91" t="s">
        <v>349</v>
      </c>
    </row>
  </sheetData>
  <sortState xmlns:xlrd2="http://schemas.microsoft.com/office/spreadsheetml/2017/richdata2" ref="F55:F88">
    <sortCondition ref="F55:F88"/>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Instructions</vt:lpstr>
      <vt:lpstr>Unit Data from Audit Worksheet</vt:lpstr>
      <vt:lpstr>TD Info Completed by Auditor</vt:lpstr>
      <vt:lpstr>Performance  Indicators Print</vt:lpstr>
      <vt:lpstr>Import</vt:lpstr>
      <vt:lpstr>Performance Indicator FBA%</vt:lpstr>
      <vt:lpstr>RSS</vt:lpstr>
      <vt:lpstr>Electric trans</vt:lpstr>
      <vt:lpstr>Electric Policy Info</vt:lpstr>
      <vt:lpstr>Tax Reval Rate</vt:lpstr>
      <vt:lpstr>PY1 Data(H)</vt:lpstr>
      <vt:lpstr>PY2 Data(H)</vt:lpstr>
      <vt:lpstr>Unit Names(H)</vt:lpstr>
      <vt:lpstr>Instructions!Print_Area</vt:lpstr>
      <vt:lpstr>'Performance  Indicators Print'!Print_Area</vt:lpstr>
      <vt:lpstr>'TD Info Completed by Auditor'!Print_Area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2023-12-01T18:32:04Z</cp:lastPrinted>
  <dcterms:created xsi:type="dcterms:W3CDTF">2011-03-11T21:05:05Z</dcterms:created>
  <dcterms:modified xsi:type="dcterms:W3CDTF">2024-10-16T22:30:54Z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